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8795" windowHeight="12120" activeTab="1"/>
  </bookViews>
  <sheets>
    <sheet name="Hinweise" sheetId="1" r:id="rId1"/>
    <sheet name="Gesamtenergiebilanz" sheetId="2" r:id="rId2"/>
    <sheet name="Kostenrechnung" sheetId="3" r:id="rId3"/>
  </sheets>
  <definedNames>
    <definedName name="Anlagenneigung">'Gesamtenergiebilanz'!$AJ$27:$AJ$30</definedName>
    <definedName name="Anlagenneigung2">'Gesamtenergiebilanz'!$AJ$36:$AJ$37</definedName>
    <definedName name="_xlnm.Print_Area" localSheetId="1">'Gesamtenergiebilanz'!$A$1:$S$68</definedName>
  </definedNames>
  <calcPr fullCalcOnLoad="1"/>
</workbook>
</file>

<file path=xl/comments2.xml><?xml version="1.0" encoding="utf-8"?>
<comments xmlns="http://schemas.openxmlformats.org/spreadsheetml/2006/main">
  <authors>
    <author>Franz Jetzinger</author>
    <author>MitarbeiterrIn</author>
    <author>tb</author>
  </authors>
  <commentList>
    <comment ref="D15" authorId="0">
      <text>
        <r>
          <rPr>
            <b/>
            <sz val="10"/>
            <rFont val="Tahoma"/>
            <family val="2"/>
          </rPr>
          <t xml:space="preserve">Info:
</t>
        </r>
        <r>
          <rPr>
            <sz val="10"/>
            <rFont val="Tahoma"/>
            <family val="2"/>
          </rPr>
          <t>10 kWh/m²a ….. niedriger Bedarf
15 kWh/m²a ….. mittlerer Bedarf
20 kWh/m²a ….. hoher Bedarf</t>
        </r>
      </text>
    </comment>
    <comment ref="L14" authorId="0">
      <text>
        <r>
          <rPr>
            <b/>
            <sz val="10"/>
            <rFont val="Tahoma"/>
            <family val="2"/>
          </rPr>
          <t xml:space="preserve">Info:
</t>
        </r>
        <r>
          <rPr>
            <sz val="10"/>
            <rFont val="Tahoma"/>
            <family val="2"/>
          </rPr>
          <t>15 kWh/m²a ….. niedriger Bedarf
20 kWh/m²a ….. mittlerer Bedarf
25 kWh/m²a ….. hoher Bedarf</t>
        </r>
        <r>
          <rPr>
            <sz val="8"/>
            <rFont val="Tahoma"/>
            <family val="2"/>
          </rPr>
          <t xml:space="preserve">
</t>
        </r>
      </text>
    </comment>
    <comment ref="D28" authorId="1">
      <text>
        <r>
          <rPr>
            <b/>
            <sz val="10"/>
            <rFont val="Tahoma"/>
            <family val="2"/>
          </rPr>
          <t xml:space="preserve">Info:
</t>
        </r>
        <r>
          <rPr>
            <sz val="10"/>
            <rFont val="Tahoma"/>
            <family val="2"/>
          </rPr>
          <t>Abschätzung erfolgt auf Basis von maximal erzielbaren 400 kWh/m²a. 
Verschattung wurde nicht berücksichtigt!</t>
        </r>
      </text>
    </comment>
    <comment ref="D37" authorId="1">
      <text>
        <r>
          <rPr>
            <b/>
            <sz val="11"/>
            <rFont val="Tahoma"/>
            <family val="2"/>
          </rPr>
          <t>Info:</t>
        </r>
        <r>
          <rPr>
            <sz val="11"/>
            <rFont val="Tahoma"/>
            <family val="2"/>
          </rPr>
          <t xml:space="preserve">
Aufgrund der Sommer-/Winterproblematik bei Solarthermie ergibt sich aus der Praxis eine maximale solare Deckung bei reiner Warmwasserbereitung von 70% sowie bei Warmwasser- und Heizungsunterstützung von 50%.
Es besteht zwar die Möglichkeit einen sogenannten Saisonspeicher einzusetzen, dies ist aber aufgrund der hohen Kosten und baulichen Anforderungen ein Sonderfall der hier unberücksichtigt bleibt.
Bitte beachten Sie, dass der solare Deckungsgrad somit nicht weiter steigt, auch wenn die Anlage durch Eingabe höherer Flächenwerte vergrößert wird!</t>
        </r>
      </text>
    </comment>
    <comment ref="D27" authorId="2">
      <text>
        <r>
          <rPr>
            <b/>
            <sz val="10"/>
            <rFont val="Tahoma"/>
            <family val="2"/>
          </rPr>
          <t>Info:</t>
        </r>
        <r>
          <rPr>
            <sz val="10"/>
            <rFont val="Tahoma"/>
            <family val="2"/>
          </rPr>
          <t xml:space="preserve">
Modulneigung 0° = Waagrecht
Modulneigung 90° = Senkrecht</t>
        </r>
      </text>
    </comment>
    <comment ref="L28" authorId="1">
      <text>
        <r>
          <rPr>
            <b/>
            <sz val="10"/>
            <rFont val="Tahoma"/>
            <family val="2"/>
          </rPr>
          <t xml:space="preserve">Info:
</t>
        </r>
        <r>
          <rPr>
            <sz val="10"/>
            <rFont val="Tahoma"/>
            <family val="2"/>
          </rPr>
          <t>Abschätzung erfolgt auf Basis von maximal erzielbaren 1.000 kWh/kWp. 
Verschattung wurde nicht berücksichtigt!</t>
        </r>
      </text>
    </comment>
    <comment ref="L37" authorId="2">
      <text>
        <r>
          <rPr>
            <b/>
            <sz val="10"/>
            <rFont val="Tahoma"/>
            <family val="2"/>
          </rPr>
          <t>Info:</t>
        </r>
        <r>
          <rPr>
            <sz val="10"/>
            <rFont val="Tahoma"/>
            <family val="2"/>
          </rPr>
          <t xml:space="preserve">
Bei vorhandener Wärmepumpe erhöht sich der Strombedarf um den Verbrauch der Wärmepumpe für die (Rest-)Wärmeerzeugung.</t>
        </r>
      </text>
    </comment>
    <comment ref="D59" authorId="2">
      <text>
        <r>
          <rPr>
            <b/>
            <sz val="10"/>
            <rFont val="Tahoma"/>
            <family val="2"/>
          </rPr>
          <t>Info:</t>
        </r>
        <r>
          <rPr>
            <sz val="10"/>
            <rFont val="Tahoma"/>
            <family val="2"/>
          </rPr>
          <t xml:space="preserve">
Bei einem System mit Wärmepumpe ergibt sich bei einem Deckungsgrad von über 100% bei Strom eine solare Deckung der Gesamtanlage von über 100%.
Im Unterschied zu einem konventionellen Kessel, bei dem eine solare Deckung beim Strom von über 100% lediglich zu einem Elektrizitätsüberschuss führt.</t>
        </r>
      </text>
    </comment>
    <comment ref="D24" authorId="2">
      <text>
        <r>
          <rPr>
            <b/>
            <sz val="10"/>
            <rFont val="Tahoma"/>
            <family val="2"/>
          </rPr>
          <t>Info:</t>
        </r>
        <r>
          <rPr>
            <sz val="10"/>
            <rFont val="Tahoma"/>
            <family val="2"/>
          </rPr>
          <t xml:space="preserve">
Modulneigung 0° = Waagrecht
Modulneigung 90° = Senkrecht</t>
        </r>
      </text>
    </comment>
    <comment ref="L27" authorId="2">
      <text>
        <r>
          <rPr>
            <b/>
            <sz val="10"/>
            <rFont val="Tahoma"/>
            <family val="2"/>
          </rPr>
          <t>Info:</t>
        </r>
        <r>
          <rPr>
            <sz val="10"/>
            <rFont val="Tahoma"/>
            <family val="2"/>
          </rPr>
          <t xml:space="preserve">
Modulneigung 0° = Waagrecht
Modulneigung 90° = Senkrecht</t>
        </r>
      </text>
    </comment>
    <comment ref="L24" authorId="2">
      <text>
        <r>
          <rPr>
            <b/>
            <sz val="10"/>
            <rFont val="Tahoma"/>
            <family val="2"/>
          </rPr>
          <t>Info:</t>
        </r>
        <r>
          <rPr>
            <sz val="10"/>
            <rFont val="Tahoma"/>
            <family val="2"/>
          </rPr>
          <t xml:space="preserve">
Modulneigung 0° = Waagrecht
Modulneigung 90° = Senkrecht</t>
        </r>
      </text>
    </comment>
    <comment ref="D29" authorId="1">
      <text>
        <r>
          <rPr>
            <b/>
            <sz val="10"/>
            <rFont val="Tahoma"/>
            <family val="2"/>
          </rPr>
          <t xml:space="preserve">Info:
</t>
        </r>
        <r>
          <rPr>
            <sz val="10"/>
            <rFont val="Tahoma"/>
            <family val="2"/>
          </rPr>
          <t>Abschätzung erfolgt auf Basis von maximal erzielbaren 400 kWh/m²a. 
Verschattung wurde nicht berücksichtigt!</t>
        </r>
      </text>
    </comment>
    <comment ref="L29" authorId="1">
      <text>
        <r>
          <rPr>
            <b/>
            <sz val="10"/>
            <rFont val="Tahoma"/>
            <family val="2"/>
          </rPr>
          <t xml:space="preserve">Info:
</t>
        </r>
        <r>
          <rPr>
            <sz val="10"/>
            <rFont val="Tahoma"/>
            <family val="2"/>
          </rPr>
          <t>Abschätzung erfolgt auf Basis von maximal erzielbaren 1.000 kWh/kWp. 
Verschattung wurde nicht berücksichtigt!</t>
        </r>
      </text>
    </comment>
    <comment ref="D23" authorId="2">
      <text>
        <r>
          <rPr>
            <b/>
            <sz val="10"/>
            <rFont val="Tahoma"/>
            <family val="2"/>
          </rPr>
          <t>Info:</t>
        </r>
        <r>
          <rPr>
            <sz val="10"/>
            <rFont val="Tahoma"/>
            <family val="2"/>
          </rPr>
          <t xml:space="preserve">
Niedriger Ertrag… 150kWh/m²a
Mittlerer Ertrag… 250 kWh/m²a
Hoher Ertrag… 400kWh/m²a</t>
        </r>
      </text>
    </comment>
    <comment ref="D26" authorId="2">
      <text>
        <r>
          <rPr>
            <b/>
            <sz val="10"/>
            <rFont val="Tahoma"/>
            <family val="2"/>
          </rPr>
          <t>Info:</t>
        </r>
        <r>
          <rPr>
            <sz val="10"/>
            <rFont val="Tahoma"/>
            <family val="2"/>
          </rPr>
          <t xml:space="preserve">
Niedriger Ertrag… 150kWh/m²a
Mittlerer Ertrag… 250 kWh/m²a
Hoher Ertrag… 400kWh/m²a</t>
        </r>
      </text>
    </comment>
    <comment ref="L23" authorId="2">
      <text>
        <r>
          <rPr>
            <b/>
            <sz val="10"/>
            <rFont val="Tahoma"/>
            <family val="2"/>
          </rPr>
          <t>Info:</t>
        </r>
        <r>
          <rPr>
            <sz val="10"/>
            <rFont val="Tahoma"/>
            <family val="2"/>
          </rPr>
          <t xml:space="preserve">
Niedriger Ertrag… 150kWh/m²a
Mittlerer Ertrag… 250 kWh/m²a
Hoher Ertrag… 400kWh/m²a</t>
        </r>
      </text>
    </comment>
    <comment ref="L26" authorId="2">
      <text>
        <r>
          <rPr>
            <b/>
            <sz val="10"/>
            <rFont val="Tahoma"/>
            <family val="2"/>
          </rPr>
          <t>Info:</t>
        </r>
        <r>
          <rPr>
            <sz val="10"/>
            <rFont val="Tahoma"/>
            <family val="2"/>
          </rPr>
          <t xml:space="preserve">
Niedriger Ertrag… 150kWh/m²a
Mittlerer Ertrag… 250 kWh/m²a
Hoher Ertrag… 400kWh/m²a</t>
        </r>
      </text>
    </comment>
  </commentList>
</comments>
</file>

<file path=xl/comments3.xml><?xml version="1.0" encoding="utf-8"?>
<comments xmlns="http://schemas.openxmlformats.org/spreadsheetml/2006/main">
  <authors>
    <author>MitarbeiterrIn</author>
  </authors>
  <commentList>
    <comment ref="D24" authorId="0">
      <text>
        <r>
          <rPr>
            <b/>
            <sz val="10"/>
            <rFont val="Tahoma"/>
            <family val="2"/>
          </rPr>
          <t>Info:</t>
        </r>
        <r>
          <rPr>
            <sz val="10"/>
            <rFont val="Tahoma"/>
            <family val="2"/>
          </rPr>
          <t xml:space="preserve">
1,875%... niedriger Zinssatz
2,125%... mittlerer Zinssatz
2,500%...hoher Zinssatz
Stand 6/2011</t>
        </r>
      </text>
    </comment>
    <comment ref="I24" authorId="0">
      <text>
        <r>
          <rPr>
            <b/>
            <sz val="10"/>
            <rFont val="Tahoma"/>
            <family val="2"/>
          </rPr>
          <t>Info:</t>
        </r>
        <r>
          <rPr>
            <sz val="10"/>
            <rFont val="Tahoma"/>
            <family val="2"/>
          </rPr>
          <t xml:space="preserve">
1,875%... niedriger Zinssatz
2,125%... mittlerer Zinssatz
2,500%...hoher Zinssatz
Stand: 6/2011</t>
        </r>
      </text>
    </comment>
    <comment ref="D40" authorId="0">
      <text>
        <r>
          <rPr>
            <b/>
            <sz val="10"/>
            <rFont val="Tahoma"/>
            <family val="2"/>
          </rPr>
          <t>Info:</t>
        </r>
        <r>
          <rPr>
            <sz val="10"/>
            <rFont val="Tahoma"/>
            <family val="2"/>
          </rPr>
          <t xml:space="preserve">
19,00 €..... niedriger Wert
35,00 €.... mittlerer Wert
95,00 €.... hoher Wert</t>
        </r>
      </text>
    </comment>
    <comment ref="I40" authorId="0">
      <text>
        <r>
          <rPr>
            <b/>
            <sz val="10"/>
            <rFont val="Tahoma"/>
            <family val="2"/>
          </rPr>
          <t xml:space="preserve">Info:
</t>
        </r>
        <r>
          <rPr>
            <sz val="10"/>
            <rFont val="Tahoma"/>
            <family val="2"/>
          </rPr>
          <t>19,00 €..... niedriger Wert
35,00 €.... mittlerer Wert
95,00 €.... hoher Wert</t>
        </r>
      </text>
    </comment>
  </commentList>
</comments>
</file>

<file path=xl/sharedStrings.xml><?xml version="1.0" encoding="utf-8"?>
<sst xmlns="http://schemas.openxmlformats.org/spreadsheetml/2006/main" count="590" uniqueCount="319">
  <si>
    <t>elektr. Energie</t>
  </si>
  <si>
    <t>kWh/m²a</t>
  </si>
  <si>
    <t>kWh/a</t>
  </si>
  <si>
    <t>Eingabe:</t>
  </si>
  <si>
    <t>BGF</t>
  </si>
  <si>
    <t>NF</t>
  </si>
  <si>
    <t>m²</t>
  </si>
  <si>
    <t>Bedarfskennzahlen des Objekts:</t>
  </si>
  <si>
    <t>Faktor</t>
  </si>
  <si>
    <t>Energiequellen des Objekts:</t>
  </si>
  <si>
    <t>Solarenergie am Haus</t>
  </si>
  <si>
    <t>Lieferenergie</t>
  </si>
  <si>
    <t>Solarthermie</t>
  </si>
  <si>
    <t>Photovoltaik</t>
  </si>
  <si>
    <t>Solarertrag:</t>
  </si>
  <si>
    <t>kWh/kWp</t>
  </si>
  <si>
    <t>Wärmebedarf</t>
  </si>
  <si>
    <t>- Solarertrag</t>
  </si>
  <si>
    <t>Strombedarf</t>
  </si>
  <si>
    <t>Abdeckung der Lieferenergie Wärme:</t>
  </si>
  <si>
    <t>Energieinhalt</t>
  </si>
  <si>
    <t>spezifischer Energieinhalt</t>
  </si>
  <si>
    <t>kWh/l</t>
  </si>
  <si>
    <t>kWh/m³</t>
  </si>
  <si>
    <t>kWh/kg</t>
  </si>
  <si>
    <t>Lieferenergie gesamt:</t>
  </si>
  <si>
    <t>Einheit 1</t>
  </si>
  <si>
    <t>Einheit 2</t>
  </si>
  <si>
    <t>CO2-Faktor</t>
  </si>
  <si>
    <t>Primärenergiefaktor</t>
  </si>
  <si>
    <t>Einheit3</t>
  </si>
  <si>
    <t>kg Pellets/a</t>
  </si>
  <si>
    <t>m³ Erdgas/a</t>
  </si>
  <si>
    <t>l Öl/a</t>
  </si>
  <si>
    <t>kg/a</t>
  </si>
  <si>
    <t>Primärenergie</t>
  </si>
  <si>
    <t>WÄRME</t>
  </si>
  <si>
    <t>STROM</t>
  </si>
  <si>
    <t>Restenergiebedarf des Objekts:</t>
  </si>
  <si>
    <t>Wasserkraft</t>
  </si>
  <si>
    <t>Kernkraft</t>
  </si>
  <si>
    <t>Kohlekraftwerk</t>
  </si>
  <si>
    <t>Abdeckung der Lieferenergie Strom:</t>
  </si>
  <si>
    <t>Emissionen</t>
  </si>
  <si>
    <t>PE</t>
  </si>
  <si>
    <t>-</t>
  </si>
  <si>
    <r>
      <t>kWh</t>
    </r>
    <r>
      <rPr>
        <vertAlign val="subscript"/>
        <sz val="10"/>
        <rFont val="Arial"/>
        <family val="2"/>
      </rPr>
      <t>el</t>
    </r>
  </si>
  <si>
    <t>INFORMATION</t>
  </si>
  <si>
    <t>Heizöl-(Brennwert)kessel</t>
  </si>
  <si>
    <t>Jahres-Nutzungsgrad, %/Jahr</t>
  </si>
  <si>
    <t>Heizung</t>
  </si>
  <si>
    <t>Warmwasser, Sommer</t>
  </si>
  <si>
    <t>Heizung &amp; Warmwasser</t>
  </si>
  <si>
    <t>Gas-(Brennwert)kessel</t>
  </si>
  <si>
    <t>Pelletskessel</t>
  </si>
  <si>
    <t>Hackgutkessel</t>
  </si>
  <si>
    <t>Jahres-Arbeitszahl</t>
  </si>
  <si>
    <r>
      <t xml:space="preserve">Wärmepumpe </t>
    </r>
    <r>
      <rPr>
        <b/>
        <sz val="12"/>
        <rFont val="Arial"/>
        <family val="2"/>
      </rPr>
      <t>(Erdreich)</t>
    </r>
  </si>
  <si>
    <r>
      <t xml:space="preserve">Wärmepumpe </t>
    </r>
    <r>
      <rPr>
        <b/>
        <sz val="12"/>
        <rFont val="Arial"/>
        <family val="2"/>
      </rPr>
      <t>(Grundwasser)</t>
    </r>
  </si>
  <si>
    <r>
      <t xml:space="preserve">Wärmepumpe </t>
    </r>
    <r>
      <rPr>
        <b/>
        <sz val="12"/>
        <rFont val="Arial"/>
        <family val="2"/>
      </rPr>
      <t>(Außenluft)</t>
    </r>
  </si>
  <si>
    <t>JNG Heizung</t>
  </si>
  <si>
    <t>JNG Heiz&amp;WW</t>
  </si>
  <si>
    <t>Wärmepumpe (Erdreich)</t>
  </si>
  <si>
    <t>Wärmepumpe (Grundwasser)</t>
  </si>
  <si>
    <t>Wärmepumpe (Außenluft)</t>
  </si>
  <si>
    <t>kWh/srm</t>
  </si>
  <si>
    <t>srm Hackgut/a</t>
  </si>
  <si>
    <t>g/kWh</t>
  </si>
  <si>
    <r>
      <t>Primärenergie-Faktor</t>
    </r>
    <r>
      <rPr>
        <sz val="12"/>
        <rFont val="Arial"/>
        <family val="2"/>
      </rPr>
      <t>, PEF</t>
    </r>
  </si>
  <si>
    <r>
      <t>CO</t>
    </r>
    <r>
      <rPr>
        <b/>
        <vertAlign val="subscript"/>
        <sz val="12"/>
        <rFont val="Arial"/>
        <family val="2"/>
      </rPr>
      <t>2</t>
    </r>
    <r>
      <rPr>
        <b/>
        <sz val="12"/>
        <rFont val="Arial"/>
        <family val="2"/>
      </rPr>
      <t>-Äquivalent</t>
    </r>
  </si>
  <si>
    <t>Energiedienstleistung</t>
  </si>
  <si>
    <r>
      <t>kWh</t>
    </r>
    <r>
      <rPr>
        <b/>
        <vertAlign val="subscript"/>
        <sz val="12"/>
        <rFont val="Arial"/>
        <family val="2"/>
      </rPr>
      <t>pe</t>
    </r>
    <r>
      <rPr>
        <b/>
        <sz val="12"/>
        <rFont val="Arial"/>
        <family val="2"/>
      </rPr>
      <t>/kWh</t>
    </r>
    <r>
      <rPr>
        <b/>
        <vertAlign val="subscript"/>
        <sz val="12"/>
        <rFont val="Arial"/>
        <family val="2"/>
      </rPr>
      <t>end</t>
    </r>
    <r>
      <rPr>
        <b/>
        <sz val="12"/>
        <rFont val="Arial"/>
        <family val="2"/>
      </rPr>
      <t xml:space="preserve"> (-)</t>
    </r>
  </si>
  <si>
    <t>Brennstoffe</t>
  </si>
  <si>
    <t>Heizöl</t>
  </si>
  <si>
    <t>Erdgas</t>
  </si>
  <si>
    <t>Steinkohle</t>
  </si>
  <si>
    <t>Braunkohle</t>
  </si>
  <si>
    <t>Scheitholz</t>
  </si>
  <si>
    <t>Holz-Hackgut</t>
  </si>
  <si>
    <t>Holz-Pellets</t>
  </si>
  <si>
    <t>Elektrischer Strom</t>
  </si>
  <si>
    <t>EU-17-Netzstrom</t>
  </si>
  <si>
    <t>UCTE-Mix (2006)</t>
  </si>
  <si>
    <t>PV-Strom, zentral</t>
  </si>
  <si>
    <t>Windstrom, zentral</t>
  </si>
  <si>
    <t>Fernwärme</t>
  </si>
  <si>
    <r>
      <t xml:space="preserve">70%Kohle, 30%Öl </t>
    </r>
    <r>
      <rPr>
        <b/>
        <i/>
        <sz val="10"/>
        <rFont val="Arial"/>
        <family val="2"/>
      </rPr>
      <t>(Wärme-Kraft-Kopplung)</t>
    </r>
  </si>
  <si>
    <r>
      <t xml:space="preserve">35% Kohle, 65% Öl </t>
    </r>
    <r>
      <rPr>
        <b/>
        <i/>
        <sz val="10"/>
        <rFont val="Arial"/>
        <family val="2"/>
      </rPr>
      <t>(Wärme-Kraft-Kopplung)</t>
    </r>
  </si>
  <si>
    <t>100 % Öl</t>
  </si>
  <si>
    <t>Nahwärme</t>
  </si>
  <si>
    <t>100% Öl</t>
  </si>
  <si>
    <t>Solar, dezentral (Gebäudeintegriert)</t>
  </si>
  <si>
    <t>Solar thermisch</t>
  </si>
  <si>
    <t>Quelle: Datensätze von GEMIS (2004)</t>
  </si>
  <si>
    <r>
      <t>Primärenergie</t>
    </r>
    <r>
      <rPr>
        <b/>
        <sz val="10"/>
        <rFont val="Arial"/>
        <family val="2"/>
      </rPr>
      <t xml:space="preserve">: Nicht-erneuerbarer Energieeinsatz vor Ort </t>
    </r>
  </si>
  <si>
    <t>plus Energieaufwand für Förderung, Verteilung und Umwandlung.</t>
  </si>
  <si>
    <r>
      <t>CO</t>
    </r>
    <r>
      <rPr>
        <b/>
        <vertAlign val="subscript"/>
        <sz val="12"/>
        <rFont val="Arial"/>
        <family val="2"/>
      </rPr>
      <t>2</t>
    </r>
    <r>
      <rPr>
        <b/>
        <sz val="12"/>
        <rFont val="Arial"/>
        <family val="2"/>
      </rPr>
      <t>-Emission</t>
    </r>
    <r>
      <rPr>
        <b/>
        <sz val="10"/>
        <rFont val="Arial"/>
        <family val="2"/>
      </rPr>
      <t xml:space="preserve">: Bezogen auf den Einsatz nicht-erneuerbarer Energieträger </t>
    </r>
  </si>
  <si>
    <t>plus Emission bei Förderung und Umwandlung.</t>
  </si>
  <si>
    <r>
      <t>CO</t>
    </r>
    <r>
      <rPr>
        <b/>
        <vertAlign val="subscript"/>
        <sz val="12"/>
        <rFont val="Arial"/>
        <family val="2"/>
      </rPr>
      <t>2</t>
    </r>
    <r>
      <rPr>
        <b/>
        <sz val="12"/>
        <rFont val="Arial"/>
        <family val="2"/>
      </rPr>
      <t>-Äquivalent</t>
    </r>
    <r>
      <rPr>
        <b/>
        <sz val="10"/>
        <rFont val="Arial"/>
        <family val="2"/>
      </rPr>
      <t xml:space="preserve">: Mitberücksichtigung auch anderer Treibhausgase, </t>
    </r>
  </si>
  <si>
    <t>gewichtet nach deren Einfluß auf den Treibhauseffekt.</t>
  </si>
  <si>
    <t>Wärmeerzeugung</t>
  </si>
  <si>
    <t>Steinkohle HKW, 70% KWK</t>
  </si>
  <si>
    <t>Steinkohle HKW, 35% KWK</t>
  </si>
  <si>
    <t>Steinkohle HW, 0% KWK</t>
  </si>
  <si>
    <t>Gas-BHKW, 70% KWK</t>
  </si>
  <si>
    <t>Gas-BHKW, 35% KWK</t>
  </si>
  <si>
    <t>Gas-BHW, 0% KWK</t>
  </si>
  <si>
    <t>Öl-BHKW 70% KWK</t>
  </si>
  <si>
    <t>Öl-BHKW 35% KWK</t>
  </si>
  <si>
    <t>Öl-BHW 0% KWK</t>
  </si>
  <si>
    <t>Quelle: GEMIS 3.0</t>
  </si>
  <si>
    <t>Aufteilung Wärme/Strom</t>
  </si>
  <si>
    <r>
      <t>CO</t>
    </r>
    <r>
      <rPr>
        <b/>
        <vertAlign val="subscript"/>
        <sz val="12"/>
        <rFont val="Arial"/>
        <family val="2"/>
      </rPr>
      <t>2</t>
    </r>
    <r>
      <rPr>
        <b/>
        <sz val="12"/>
        <rFont val="Arial"/>
        <family val="2"/>
      </rPr>
      <t xml:space="preserve"> pro Jahr:</t>
    </r>
  </si>
  <si>
    <t>PE pro Jahr:</t>
  </si>
  <si>
    <r>
      <t>CO</t>
    </r>
    <r>
      <rPr>
        <b/>
        <vertAlign val="subscript"/>
        <sz val="12"/>
        <rFont val="Arial"/>
        <family val="2"/>
      </rPr>
      <t>2</t>
    </r>
    <r>
      <rPr>
        <b/>
        <sz val="12"/>
        <rFont val="Arial"/>
        <family val="2"/>
      </rPr>
      <t xml:space="preserve"> pro m²:</t>
    </r>
  </si>
  <si>
    <t>PE pro m²:</t>
  </si>
  <si>
    <t>kg/m²a</t>
  </si>
  <si>
    <t>Gas</t>
  </si>
  <si>
    <t>Anthrazit</t>
  </si>
  <si>
    <t>Koks</t>
  </si>
  <si>
    <t>Holzspäne</t>
  </si>
  <si>
    <t>Holzblock</t>
  </si>
  <si>
    <t>Buchenholzblock</t>
  </si>
  <si>
    <t>Tannenholzblock</t>
  </si>
  <si>
    <t>Primärenergiefaktor NE</t>
  </si>
  <si>
    <t>Primärenergiefaktor Gesamt</t>
  </si>
  <si>
    <t>Datentabelle für Strom</t>
  </si>
  <si>
    <r>
      <t xml:space="preserve">Österreich </t>
    </r>
    <r>
      <rPr>
        <i/>
        <sz val="10"/>
        <rFont val="Arial"/>
        <family val="2"/>
      </rPr>
      <t>(Stromkennzeichnung 2005)</t>
    </r>
  </si>
  <si>
    <t>lt. Tool Faninger</t>
  </si>
  <si>
    <t>gemäß Recknagel</t>
  </si>
  <si>
    <t>Photovoltaik:</t>
  </si>
  <si>
    <t>Quellen:</t>
  </si>
  <si>
    <t>elektrische Direktheizung</t>
  </si>
  <si>
    <t>Ökostrom</t>
  </si>
  <si>
    <t>Bezeichnung</t>
  </si>
  <si>
    <t>spez. Stromverbrauch</t>
  </si>
  <si>
    <t>Eingabe wenn Stromverbrauch bekannt:</t>
  </si>
  <si>
    <t>lt. Fernwärme Wien</t>
  </si>
  <si>
    <t>Investitionskosten Wärmeerzeugung:</t>
  </si>
  <si>
    <t>Investitionskosten</t>
  </si>
  <si>
    <t>€</t>
  </si>
  <si>
    <t>Investitionskosten real</t>
  </si>
  <si>
    <t>Sonstige Wärmelieferung</t>
  </si>
  <si>
    <t>Summe Investitionskosten</t>
  </si>
  <si>
    <t>Hypothekarzinssatz</t>
  </si>
  <si>
    <t>Summe Kapitalkosten</t>
  </si>
  <si>
    <t>%</t>
  </si>
  <si>
    <t>Betriebsgebundene Kosten:</t>
  </si>
  <si>
    <t>Summe betriebsgebundene Kosten</t>
  </si>
  <si>
    <t>Verbrauch</t>
  </si>
  <si>
    <t>Einkaufspreis</t>
  </si>
  <si>
    <t>Verkaufspreis</t>
  </si>
  <si>
    <t>kWh</t>
  </si>
  <si>
    <t>€ / kWh</t>
  </si>
  <si>
    <t>Summe der externen Kosten</t>
  </si>
  <si>
    <t>Summe verbrauchsgebundene Kosten</t>
  </si>
  <si>
    <t>Verbrauchsgebundene Kosten:</t>
  </si>
  <si>
    <t>Kapitalgebundene Kosten:</t>
  </si>
  <si>
    <t>Externe Kosten:</t>
  </si>
  <si>
    <r>
      <t>CO</t>
    </r>
    <r>
      <rPr>
        <vertAlign val="subscript"/>
        <sz val="12"/>
        <rFont val="Arial"/>
        <family val="2"/>
      </rPr>
      <t>2</t>
    </r>
    <r>
      <rPr>
        <sz val="10"/>
        <rFont val="Arial"/>
        <family val="2"/>
      </rPr>
      <t xml:space="preserve"> Kosten</t>
    </r>
  </si>
  <si>
    <r>
      <t>CO</t>
    </r>
    <r>
      <rPr>
        <vertAlign val="subscript"/>
        <sz val="12"/>
        <rFont val="Arial"/>
        <family val="2"/>
      </rPr>
      <t>2</t>
    </r>
    <r>
      <rPr>
        <sz val="12"/>
        <rFont val="Arial"/>
        <family val="2"/>
      </rPr>
      <t xml:space="preserve"> </t>
    </r>
    <r>
      <rPr>
        <sz val="10"/>
        <rFont val="Arial"/>
        <family val="2"/>
      </rPr>
      <t>pro Jahr</t>
    </r>
  </si>
  <si>
    <t>kWp</t>
  </si>
  <si>
    <t>€/a</t>
  </si>
  <si>
    <t>Wärme</t>
  </si>
  <si>
    <t>Strom</t>
  </si>
  <si>
    <t>Nutzungsdauer</t>
  </si>
  <si>
    <t>Annuitätsfaktor</t>
  </si>
  <si>
    <t>Instandhaltungsrate</t>
  </si>
  <si>
    <t>Sonstige Stromlieferung</t>
  </si>
  <si>
    <t>Stromanschluss</t>
  </si>
  <si>
    <t>errechnet aus ND und Zinssatz</t>
  </si>
  <si>
    <t>lt. Tool Faninger bzw. M 7140</t>
  </si>
  <si>
    <t>lt. Tool Faninger bzw. Schätzung</t>
  </si>
  <si>
    <t>Testhaus</t>
  </si>
  <si>
    <t xml:space="preserve"> </t>
  </si>
  <si>
    <t>Restwärmebedarf des Objekts:</t>
  </si>
  <si>
    <t>€/Tonne CO2</t>
  </si>
  <si>
    <t>Investitionskosten Stromversorgung:</t>
  </si>
  <si>
    <t>Infos zu externen Kosten</t>
  </si>
  <si>
    <t>Lechner, R.; Sutter, P. (2004): Excoco - Berechnungstool Externe Kosten im Hochbau, Handbuch Version 1.0 - Stand 29.1.2004. Im Auftrag des Bundesministeriums für Wirtschaft und Arbeit, Wien.</t>
  </si>
  <si>
    <t>Europäische Kommission: Projektreihe Externe Kosten, Dokumentation auf http://www.externE.info</t>
  </si>
  <si>
    <t>In ExternE kommen zwei Kostenermittlungsansätze zur Anwendung:</t>
  </si>
  <si>
    <t>(1) Beim Schadenskostenansatz wird der durch die externen Effekte verursachte Schaden (z. B. Materialschäden an Wohngebäuden) bestimmt und monetär bewertet.</t>
  </si>
  <si>
    <t>(2) Beim Vermeidungskostenansatz stehen nicht die Kosten des verursachten Schadens im Vordergrund, sondern die Kosten der Prophylaxe.</t>
  </si>
  <si>
    <t xml:space="preserve">Ambitioniertere Ziele, wie etwa die Stabilisierung der CO2-Emissionen auf einem Niveau von 2°C über dem vorindustriellen Niveau, würden Opportunitätskosten von 95 € pro Tonne CO2 bedeuten. </t>
  </si>
  <si>
    <t>http://www.ecra.at/service/news/4851137963/</t>
  </si>
  <si>
    <t>Betriebswirtschaftliche Vergleichsrechnung für Energiesysteme nach der erweiterten Annuitätenmethode - Begriffsbestimmungen, Rechenverfahren, Wien: Österreichisches Normungsinstitut.</t>
  </si>
  <si>
    <t>ÖNORM M 7140 (2004):</t>
  </si>
  <si>
    <t>ExternE verfolgt primär den Schadenskostenansatz. Nur wenn Schadenskosten große Unsicherheitsbandbreiten aufweisen, greift man auf Vermeidungskosten zurück.</t>
  </si>
  <si>
    <t>Für die “globale Erwärmung” beispielsweise werden die Opportunitätskosten zur Erreichung des Kyotoziels angesetzt.</t>
  </si>
  <si>
    <t>Es liegen Vorgangsweisen zur Integration externer Kosten vor. Je nach Methode werden die externen Kosten auf Ebene der Emissionen (ExternE) oder auf Ebene der Ökopotenziale (Excoco) erarbeitet.</t>
  </si>
  <si>
    <t xml:space="preserve">beispielsweise in Form einer Szenarioanalyse, bei der die externen Kosten den Bewirtschaftungskosten zugeschlagen werden. </t>
  </si>
  <si>
    <t xml:space="preserve">ÖNORM M 7140 enthält im Beiblatt 4 Berechnungsbeispiele und im Beiblatt 5 Richt- und Anhaltswerte für Eingaben inklusive der Angaben für externe Kosten. </t>
  </si>
  <si>
    <t xml:space="preserve">Wien: Schriftenreihe des Departments Nr. 13 – August 2007. Department für Bautechnik + Naturgefahren, Universität für Bodenkultur </t>
  </si>
  <si>
    <t>CO2 und Primärenergieeinsparungen ersetzen das ausgewählte System, bzw. im Überschussfall standardmäßig einen Gasbrennwertkessel bzw. bei Strom den Energiemix.</t>
  </si>
  <si>
    <t xml:space="preserve">ExternE rechnet mit Vermeidungskosten für die globale Erwärmung von 19 € pro Tonne CO2. Dies entspricht den Kosten, die zur Erreichung des Kyotoziels anfallen. </t>
  </si>
  <si>
    <t>Nach ISO 15686-5 sind die externen Kosten bei der Bewertung der Whole Life Cost zu berücksichtigen. Aufgrund der bestehenden Angaben zu externen Kosten ist dies leicht möglich,</t>
  </si>
  <si>
    <t>Auf österreichischer Ebene sind die externen Kosten teilweise in der Normung abgebildet.</t>
  </si>
  <si>
    <t>Quelle: GEISSLER, S. (2007): Immobilienbewertung als Instrument zur Forcierung der nachhaltigen Nutzung erneuerbarer Ressourcen (Schwerpunkt Energie) im Hochbau.</t>
  </si>
  <si>
    <t>CO2 Börse: Kosten für CO2 z.B. zwischen 15 und 25 €/t, siehe u.a.:</t>
  </si>
  <si>
    <r>
      <t>Konversionsfaktoren für Primärenergie und CO</t>
    </r>
    <r>
      <rPr>
        <b/>
        <vertAlign val="subscript"/>
        <sz val="14"/>
        <rFont val="Arial"/>
        <family val="2"/>
      </rPr>
      <t>2</t>
    </r>
    <r>
      <rPr>
        <b/>
        <sz val="14"/>
        <rFont val="Arial"/>
        <family val="2"/>
      </rPr>
      <t>-Emission</t>
    </r>
  </si>
  <si>
    <r>
      <t>kWh</t>
    </r>
    <r>
      <rPr>
        <b/>
        <vertAlign val="subscript"/>
        <sz val="10"/>
        <rFont val="Arial"/>
        <family val="2"/>
      </rPr>
      <t>pe</t>
    </r>
    <r>
      <rPr>
        <b/>
        <sz val="10"/>
        <rFont val="Arial"/>
        <family val="2"/>
      </rPr>
      <t>/kWh</t>
    </r>
    <r>
      <rPr>
        <b/>
        <vertAlign val="subscript"/>
        <sz val="10"/>
        <rFont val="Arial"/>
        <family val="2"/>
      </rPr>
      <t>end</t>
    </r>
    <r>
      <rPr>
        <b/>
        <sz val="10"/>
        <rFont val="Arial"/>
        <family val="2"/>
      </rPr>
      <t xml:space="preserve"> (-)</t>
    </r>
  </si>
  <si>
    <t>Betriebsgebundene Kosten entsprechend der Instandhaltungsrate aus ÖNORM M 7140 bzw. für PV und Solarthermie auf Basis IE Leipzig (2009): Vollkostenvergleich Heizsysteme 2009.</t>
  </si>
  <si>
    <t>Kapitalgebundene Kosten entsprechend Annuitätenmethode. Hypothekarzinssätze: Marktübersicht, Stand Jan. 2011.</t>
  </si>
  <si>
    <t>Solarer Deckungsgrad</t>
  </si>
  <si>
    <t>Ertragsbeispiele bei solarthermischen und photovoltaischen Anlagen: DI Tim Selke, AIT</t>
  </si>
  <si>
    <t>Wärmebedarf inkl. Verluste</t>
  </si>
  <si>
    <t>spez. HWB BGF</t>
  </si>
  <si>
    <t>spez. WWB BGF</t>
  </si>
  <si>
    <t>WWB gesamt</t>
  </si>
  <si>
    <t>HWB gesamt</t>
  </si>
  <si>
    <t>Nur Warmwasserbereitung?</t>
  </si>
  <si>
    <t>J / N</t>
  </si>
  <si>
    <t>Speichergröße</t>
  </si>
  <si>
    <t>75 L / m² Solarthermie</t>
  </si>
  <si>
    <t>Speicherkosten</t>
  </si>
  <si>
    <t>WW-Speicherkosten</t>
  </si>
  <si>
    <t>Pufferspeicherkosten</t>
  </si>
  <si>
    <t>Solarthermische Anlage</t>
  </si>
  <si>
    <t>PV-Anlage</t>
  </si>
  <si>
    <t>Kosten € / m² (inkl. Montage)</t>
  </si>
  <si>
    <t>Kosten € / kWp (inkl. Montage)</t>
  </si>
  <si>
    <t>Kosten durch Berechnung:</t>
  </si>
  <si>
    <t>Heizung und Warmwasser?</t>
  </si>
  <si>
    <t>Nur Warmwasser?</t>
  </si>
  <si>
    <t>Kosten / Liter</t>
  </si>
  <si>
    <t>bis 800 L</t>
  </si>
  <si>
    <t>801-1999 L</t>
  </si>
  <si>
    <t>ab 2000 L</t>
  </si>
  <si>
    <t>bis 500 L</t>
  </si>
  <si>
    <t>501-800 L</t>
  </si>
  <si>
    <t>ab 801 L</t>
  </si>
  <si>
    <t>N</t>
  </si>
  <si>
    <t>Erforderliche Speichergröße</t>
  </si>
  <si>
    <t>Liter</t>
  </si>
  <si>
    <t>OIB 6 Entwurf - Primärenergie- und CO2-Faktoren</t>
  </si>
  <si>
    <t>Kohle</t>
  </si>
  <si>
    <t>Biomasse</t>
  </si>
  <si>
    <t>PEF</t>
  </si>
  <si>
    <t>CO2 (g/kWh)</t>
  </si>
  <si>
    <t>gemäß OIB 6 Entwurf</t>
  </si>
  <si>
    <t>Ö-Energiemix</t>
  </si>
  <si>
    <t>Jahresnutzungsgrade gemäß Tool von Univ. Prof. Dr. Faninger, CO2-Faktoren gemäß OIB 6 Entwurf (Wasserkraft, Kernkraft, Ökostrom, Kohlekraft aus EN15603)</t>
  </si>
  <si>
    <t>Primärenergiefaktoren gemäß OIB 6 Entwurf (Gesamt); Energieinhalt der Energieträger gemäß Recknagel et al, 07/08</t>
  </si>
  <si>
    <t>gemäß ÖNORM M 7140 Beiblatt 5 bzw. Tool Faninger</t>
  </si>
  <si>
    <t>Kosten auf Basis IWT (TU Graz)</t>
  </si>
  <si>
    <t>Kosten auf Basis IWT (TU Graz) bzw. Faninger</t>
  </si>
  <si>
    <t>Modulneigung</t>
  </si>
  <si>
    <t>° Grad</t>
  </si>
  <si>
    <t>Personen</t>
  </si>
  <si>
    <t>WWB-Alternativ</t>
  </si>
  <si>
    <t>Temp.Spreizung</t>
  </si>
  <si>
    <t>Liter/Person*Tag</t>
  </si>
  <si>
    <t>Süd</t>
  </si>
  <si>
    <t>West</t>
  </si>
  <si>
    <t>Ost</t>
  </si>
  <si>
    <t>Pulldown-Listen</t>
  </si>
  <si>
    <t>Anlagenneigung</t>
  </si>
  <si>
    <t>Solarbilanz - Tool</t>
  </si>
  <si>
    <t>Abkürzungen:</t>
  </si>
  <si>
    <t>HWB</t>
  </si>
  <si>
    <t>WWB</t>
  </si>
  <si>
    <t>Bruttogeschossfläche</t>
  </si>
  <si>
    <t>Heizwärmebedarf</t>
  </si>
  <si>
    <t>Warmwasserbedarf</t>
  </si>
  <si>
    <t>Solarthermie:</t>
  </si>
  <si>
    <t>Richtwerte für den Warmwasserverbauch:</t>
  </si>
  <si>
    <t>Temperaturspreizung:</t>
  </si>
  <si>
    <t>[K]</t>
  </si>
  <si>
    <t>[L/Person*Tag]</t>
  </si>
  <si>
    <t>Wasserverbrauch:</t>
  </si>
  <si>
    <t>Der WWB kann darüber hinaus auch alternativ aus der Anzahl der Personen im Gebäude sowie eines täglichen Wasserverbrauches in Litern pro Person sowie der Temperaturspreizung errechnet werden.</t>
  </si>
  <si>
    <t>Der spezifische HWB und spezifische WWB wird gemäß Energieausweis in kWh/m²a angegeben.</t>
  </si>
  <si>
    <t>Wärmebedarf:</t>
  </si>
  <si>
    <t>Kostenrechnung:</t>
  </si>
  <si>
    <t>Diese Felder dienen der Eingabe von bekannten Kosten, wenn z.B. bereits ein Kostenvoranschlag vorliegt.</t>
  </si>
  <si>
    <t>Zu beachten ist, dass in diesem Feld die gesamten Kosten eingeben werden müssen.</t>
  </si>
  <si>
    <t>Sind keine tatsächlichen Zahlen zu den Kosten vorhanden, so erfolgt eine Kostenabschätzung aufgrund der Eingaben zur Anlagengröße.</t>
  </si>
  <si>
    <t>Einkaufspreis pro kWh entspricht den Kosten für bezogene (Rest-)Energie.</t>
  </si>
  <si>
    <t>Verkaufspreis pro kWh entspricht dem Ertrag für eingespeiste (Überschuss-)Energie.</t>
  </si>
  <si>
    <t>Solarer Deckungsgrad Strom:</t>
  </si>
  <si>
    <t>Solarer Deckungsgrad Wärme:</t>
  </si>
  <si>
    <r>
      <t>CO</t>
    </r>
    <r>
      <rPr>
        <b/>
        <vertAlign val="subscript"/>
        <sz val="16"/>
        <rFont val="Arial"/>
        <family val="2"/>
      </rPr>
      <t>2</t>
    </r>
  </si>
  <si>
    <t>Die Kostenrechnung enthält immer Eingabefelder "Investitionskosten real".</t>
  </si>
  <si>
    <t>Solarthermie Dach</t>
  </si>
  <si>
    <t>Solarthermie Fassade</t>
  </si>
  <si>
    <t>Photovoltaik Dach</t>
  </si>
  <si>
    <t>Photovoltaik Fassade</t>
  </si>
  <si>
    <t>Dach</t>
  </si>
  <si>
    <t>Fassade</t>
  </si>
  <si>
    <t>Ertragsschätzung Dach</t>
  </si>
  <si>
    <t>Ertragsschätzung Fassade</t>
  </si>
  <si>
    <t>Ertrag Dach</t>
  </si>
  <si>
    <t>Ertrag Fassade</t>
  </si>
  <si>
    <t>Schriefl, 2007</t>
  </si>
  <si>
    <t>Pellets</t>
  </si>
  <si>
    <t>Hackgut</t>
  </si>
  <si>
    <t>Öl</t>
  </si>
  <si>
    <t>WP Erdreich</t>
  </si>
  <si>
    <t>WP Grundwasser</t>
  </si>
  <si>
    <t>WP Außenluft</t>
  </si>
  <si>
    <t>Elektrische Direktheizung</t>
  </si>
  <si>
    <t>a</t>
  </si>
  <si>
    <t>b</t>
  </si>
  <si>
    <t>c</t>
  </si>
  <si>
    <r>
      <t>Zwischenrechnung P</t>
    </r>
    <r>
      <rPr>
        <sz val="6"/>
        <rFont val="Arial"/>
        <family val="2"/>
      </rPr>
      <t>WE</t>
    </r>
  </si>
  <si>
    <t>Restheizbedarf (Brennstoff)</t>
  </si>
  <si>
    <t>1500 Volllaststunden</t>
  </si>
  <si>
    <t>kW</t>
  </si>
  <si>
    <r>
      <t>P</t>
    </r>
    <r>
      <rPr>
        <b/>
        <sz val="6"/>
        <rFont val="Arial"/>
        <family val="2"/>
      </rPr>
      <t>WE</t>
    </r>
  </si>
  <si>
    <t>ZR</t>
  </si>
  <si>
    <t>Restheizbedarf (Stromheizungen)</t>
  </si>
  <si>
    <t>Gewählte Speicherkosten:</t>
  </si>
  <si>
    <t>Die Ertrasschätzung pro m² Kollektorfläche kann vom Hersteller übernommen werden. Dabei handelt es sich üblicherweise um das erzielbare Maximum</t>
  </si>
  <si>
    <t>Durch die Anlagenausrichtung und -neigung ergeben sich dann entsprechende Abweichungen von diesem Maximum.</t>
  </si>
  <si>
    <t>Die Ertragsschätzung pro kWp kann vom Hersteller übernommen werden. Dabei handelt es sich üblicherwesie um das erzielbare Maximum.</t>
  </si>
  <si>
    <t>Diese Kosten stellen die Anschaffungskosten des Wärmeerzeugers (im Falle von Solarthermie inklusive Speicher, im Falle von Photovoltaik und Stromheizungen inkl. Stromanschluss) dar.</t>
  </si>
  <si>
    <t>Das Wärmeabgabe- und Wärmeverteilsystem ist in der Preiskalkulation nicht enthalten.</t>
  </si>
  <si>
    <t>Es empfiehlt sich daher vorhandene Kostenvoranschläge oder bereits bekannte Gesamtkosten für die Investitionskostenrechnung heranzuziehen.</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</si>
</sst>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
    <numFmt numFmtId="165" formatCode="0.000"/>
    <numFmt numFmtId="166" formatCode="0.0"/>
    <numFmt numFmtId="167" formatCode="_-* #,##0.0_-;\-* #,##0.0_-;_-* &quot;-&quot;??_-;_-@_-"/>
    <numFmt numFmtId="168" formatCode="_-* #,##0_-;\-* #,##0_-;_-* &quot;-&quot;??_-;_-@_-"/>
    <numFmt numFmtId="169" formatCode="_-* #,##0.000_-;\-* #,##0.000_-;_-* &quot;-&quot;??_-;_-@_-"/>
    <numFmt numFmtId="170" formatCode="&quot;Ja&quot;;&quot;Ja&quot;;&quot;Nein&quot;"/>
    <numFmt numFmtId="171" formatCode="&quot;Wahr&quot;;&quot;Wahr&quot;;&quot;Falsch&quot;"/>
    <numFmt numFmtId="172" formatCode="&quot;Ein&quot;;&quot;Ein&quot;;&quot;Aus&quot;"/>
    <numFmt numFmtId="173" formatCode="[$€-2]\ #,##0.00_);[Red]\([$€-2]\ #,##0.00\)"/>
    <numFmt numFmtId="174" formatCode="0.000000"/>
    <numFmt numFmtId="175" formatCode="0.00000"/>
    <numFmt numFmtId="176" formatCode="[$-C07]dddd\,\ dd\.\ mmmm\ yyyy"/>
    <numFmt numFmtId="177" formatCode="#,###"/>
    <numFmt numFmtId="178" formatCode="#,###.0"/>
    <numFmt numFmtId="179" formatCode="#,###.00"/>
    <numFmt numFmtId="180" formatCode="#,###.000"/>
    <numFmt numFmtId="181" formatCode="#,###.0000"/>
    <numFmt numFmtId="182" formatCode="#,###.00000"/>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0.0"/>
    <numFmt numFmtId="192" formatCode="#,##0.000"/>
    <numFmt numFmtId="193" formatCode="_-* #,##0.0000_-;\-* #,##0.0000_-;_-* &quot;-&quot;??_-;_-@_-"/>
    <numFmt numFmtId="194" formatCode="0.0%"/>
    <numFmt numFmtId="195" formatCode="#,##0.00_ ;\-#,##0.00\ "/>
    <numFmt numFmtId="196" formatCode="0.000%"/>
  </numFmts>
  <fonts count="47">
    <font>
      <sz val="10"/>
      <name val="Arial"/>
      <family val="0"/>
    </font>
    <font>
      <sz val="8"/>
      <name val="Arial"/>
      <family val="0"/>
    </font>
    <font>
      <b/>
      <sz val="10"/>
      <name val="Arial"/>
      <family val="2"/>
    </font>
    <font>
      <i/>
      <sz val="10"/>
      <name val="Arial"/>
      <family val="2"/>
    </font>
    <font>
      <sz val="10"/>
      <color indexed="9"/>
      <name val="Arial"/>
      <family val="2"/>
    </font>
    <font>
      <sz val="11"/>
      <color indexed="28"/>
      <name val="Arial"/>
      <family val="2"/>
    </font>
    <font>
      <b/>
      <sz val="20"/>
      <name val="Arial"/>
      <family val="2"/>
    </font>
    <font>
      <vertAlign val="subscript"/>
      <sz val="10"/>
      <name val="Arial"/>
      <family val="2"/>
    </font>
    <font>
      <b/>
      <sz val="16"/>
      <name val="Arial"/>
      <family val="2"/>
    </font>
    <font>
      <b/>
      <vertAlign val="subscript"/>
      <sz val="16"/>
      <name val="Arial"/>
      <family val="2"/>
    </font>
    <font>
      <sz val="24"/>
      <name val="Arial"/>
      <family val="2"/>
    </font>
    <font>
      <sz val="3.25"/>
      <name val="Arial"/>
      <family val="2"/>
    </font>
    <font>
      <b/>
      <sz val="14"/>
      <name val="Arial"/>
      <family val="2"/>
    </font>
    <font>
      <sz val="1.75"/>
      <name val="Arial"/>
      <family val="0"/>
    </font>
    <font>
      <sz val="14"/>
      <name val="Arial"/>
      <family val="2"/>
    </font>
    <font>
      <u val="single"/>
      <sz val="10"/>
      <color indexed="36"/>
      <name val="Arial"/>
      <family val="0"/>
    </font>
    <font>
      <u val="single"/>
      <sz val="10"/>
      <color indexed="12"/>
      <name val="Arial"/>
      <family val="0"/>
    </font>
    <font>
      <sz val="11"/>
      <color indexed="60"/>
      <name val="Calibri"/>
      <family val="2"/>
    </font>
    <font>
      <b/>
      <sz val="26"/>
      <name val="Arial"/>
      <family val="2"/>
    </font>
    <font>
      <b/>
      <sz val="12"/>
      <name val="Arial"/>
      <family val="2"/>
    </font>
    <font>
      <sz val="12"/>
      <name val="Arial"/>
      <family val="0"/>
    </font>
    <font>
      <sz val="10"/>
      <color indexed="10"/>
      <name val="Arial"/>
      <family val="0"/>
    </font>
    <font>
      <b/>
      <vertAlign val="subscript"/>
      <sz val="12"/>
      <name val="Arial"/>
      <family val="2"/>
    </font>
    <font>
      <b/>
      <i/>
      <sz val="10"/>
      <name val="Arial"/>
      <family val="2"/>
    </font>
    <font>
      <b/>
      <sz val="11"/>
      <name val="Arial"/>
      <family val="2"/>
    </font>
    <font>
      <b/>
      <sz val="10"/>
      <color indexed="10"/>
      <name val="Arial"/>
      <family val="2"/>
    </font>
    <font>
      <b/>
      <sz val="28"/>
      <name val="Arial"/>
      <family val="2"/>
    </font>
    <font>
      <sz val="28"/>
      <name val="Arial"/>
      <family val="2"/>
    </font>
    <font>
      <sz val="10"/>
      <color indexed="41"/>
      <name val="Arial"/>
      <family val="2"/>
    </font>
    <font>
      <b/>
      <sz val="10"/>
      <color indexed="9"/>
      <name val="Arial"/>
      <family val="2"/>
    </font>
    <font>
      <sz val="8"/>
      <name val="Tahoma"/>
      <family val="2"/>
    </font>
    <font>
      <sz val="10"/>
      <color indexed="57"/>
      <name val="Arial"/>
      <family val="0"/>
    </font>
    <font>
      <sz val="12"/>
      <color indexed="10"/>
      <name val="Arial"/>
      <family val="2"/>
    </font>
    <font>
      <vertAlign val="subscript"/>
      <sz val="12"/>
      <name val="Arial"/>
      <family val="2"/>
    </font>
    <font>
      <sz val="10"/>
      <name val="Tahoma"/>
      <family val="2"/>
    </font>
    <font>
      <b/>
      <sz val="10"/>
      <name val="Tahoma"/>
      <family val="2"/>
    </font>
    <font>
      <b/>
      <vertAlign val="subscript"/>
      <sz val="14"/>
      <name val="Arial"/>
      <family val="2"/>
    </font>
    <font>
      <b/>
      <vertAlign val="subscript"/>
      <sz val="10"/>
      <name val="Arial"/>
      <family val="2"/>
    </font>
    <font>
      <sz val="10"/>
      <color indexed="43"/>
      <name val="Arial"/>
      <family val="2"/>
    </font>
    <font>
      <sz val="10"/>
      <color indexed="22"/>
      <name val="Arial"/>
      <family val="0"/>
    </font>
    <font>
      <b/>
      <sz val="11"/>
      <name val="Tahoma"/>
      <family val="2"/>
    </font>
    <font>
      <sz val="11"/>
      <name val="Tahoma"/>
      <family val="2"/>
    </font>
    <font>
      <b/>
      <sz val="12"/>
      <color indexed="10"/>
      <name val="Arial"/>
      <family val="2"/>
    </font>
    <font>
      <sz val="11"/>
      <name val="Arial"/>
      <family val="2"/>
    </font>
    <font>
      <sz val="6"/>
      <name val="Arial"/>
      <family val="2"/>
    </font>
    <font>
      <b/>
      <sz val="6"/>
      <name val="Arial"/>
      <family val="2"/>
    </font>
    <font>
      <b/>
      <sz val="8"/>
      <name val="Arial"/>
      <family val="2"/>
    </font>
  </fonts>
  <fills count="11">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indexed="23"/>
        <bgColor indexed="64"/>
      </patternFill>
    </fill>
    <fill>
      <patternFill patternType="solid">
        <fgColor indexed="41"/>
        <bgColor indexed="64"/>
      </patternFill>
    </fill>
    <fill>
      <patternFill patternType="solid">
        <fgColor indexed="23"/>
        <bgColor indexed="64"/>
      </patternFill>
    </fill>
  </fills>
  <borders count="77">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color indexed="63"/>
      </right>
      <top style="medium"/>
      <bottom style="medium"/>
    </border>
    <border>
      <left style="thin"/>
      <right style="medium"/>
      <top style="medium"/>
      <bottom style="medium"/>
    </border>
    <border>
      <left style="thin"/>
      <right style="thin"/>
      <top>
        <color indexed="63"/>
      </top>
      <bottom>
        <color indexed="63"/>
      </bottom>
    </border>
    <border>
      <left style="thin"/>
      <right style="thick"/>
      <top>
        <color indexed="63"/>
      </top>
      <bottom>
        <color indexed="63"/>
      </bottom>
    </border>
    <border>
      <left style="thin"/>
      <right style="thin"/>
      <top>
        <color indexed="63"/>
      </top>
      <bottom style="medium"/>
    </border>
    <border>
      <left style="thin"/>
      <right style="thick"/>
      <top>
        <color indexed="63"/>
      </top>
      <bottom style="medium"/>
    </border>
    <border>
      <left style="thin"/>
      <right style="thin"/>
      <top style="thin"/>
      <bottom style="thin"/>
    </border>
    <border>
      <left style="thin"/>
      <right style="thick"/>
      <top style="thin"/>
      <bottom style="thin"/>
    </border>
    <border>
      <left style="thin"/>
      <right style="thin"/>
      <top style="thin"/>
      <bottom>
        <color indexed="63"/>
      </bottom>
    </border>
    <border>
      <left style="thin"/>
      <right style="thick"/>
      <top style="thin"/>
      <bottom>
        <color indexed="63"/>
      </bottom>
    </border>
    <border>
      <left style="thick"/>
      <right style="thin"/>
      <top style="thin"/>
      <bottom style="thin"/>
    </border>
    <border>
      <left style="thick"/>
      <right style="thin"/>
      <top style="thin"/>
      <bottom>
        <color indexed="63"/>
      </bottom>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color indexed="63"/>
      </right>
      <top>
        <color indexed="63"/>
      </top>
      <bottom style="thin"/>
    </border>
    <border>
      <left style="thick"/>
      <right style="thin"/>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style="thin"/>
      <right style="thin"/>
      <top style="medium"/>
      <bottom style="thin"/>
    </border>
    <border>
      <left style="thin"/>
      <right style="thick"/>
      <top style="medium"/>
      <bottom style="thin"/>
    </border>
    <border>
      <left style="thick"/>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medium"/>
      <bottom style="medium"/>
    </border>
    <border>
      <left>
        <color indexed="63"/>
      </left>
      <right style="thick"/>
      <top style="medium"/>
      <bottom style="medium"/>
    </border>
    <border>
      <left style="thick"/>
      <right style="thin"/>
      <top style="medium"/>
      <bottom>
        <color indexed="63"/>
      </bottom>
    </border>
    <border>
      <left style="medium"/>
      <right>
        <color indexed="63"/>
      </right>
      <top style="thin"/>
      <bottom>
        <color indexed="63"/>
      </bottom>
    </border>
    <border>
      <left>
        <color indexed="63"/>
      </left>
      <right style="medium"/>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17" fillId="2" borderId="0" applyNumberFormat="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34">
    <xf numFmtId="0" fontId="0" fillId="0" borderId="0" xfId="0" applyAlignment="1">
      <alignment/>
    </xf>
    <xf numFmtId="0" fontId="2" fillId="0" borderId="0" xfId="0" applyFont="1" applyAlignment="1">
      <alignment/>
    </xf>
    <xf numFmtId="0" fontId="5" fillId="0" borderId="0" xfId="0" applyFont="1" applyAlignment="1">
      <alignment/>
    </xf>
    <xf numFmtId="0" fontId="3" fillId="3" borderId="1" xfId="0" applyFont="1" applyFill="1" applyBorder="1" applyAlignment="1">
      <alignment horizontal="center"/>
    </xf>
    <xf numFmtId="0" fontId="0" fillId="3" borderId="0" xfId="0" applyFont="1" applyFill="1" applyBorder="1" applyAlignment="1">
      <alignment/>
    </xf>
    <xf numFmtId="0" fontId="0" fillId="3" borderId="1" xfId="0" applyFont="1" applyFill="1" applyBorder="1" applyAlignment="1">
      <alignment/>
    </xf>
    <xf numFmtId="0" fontId="4" fillId="3" borderId="1" xfId="0" applyFont="1" applyFill="1" applyBorder="1" applyAlignment="1">
      <alignment/>
    </xf>
    <xf numFmtId="0" fontId="4" fillId="3" borderId="0" xfId="0" applyFont="1" applyFill="1" applyBorder="1" applyAlignment="1">
      <alignment/>
    </xf>
    <xf numFmtId="0" fontId="4" fillId="3" borderId="2" xfId="0" applyFont="1" applyFill="1" applyBorder="1" applyAlignment="1">
      <alignment/>
    </xf>
    <xf numFmtId="182" fontId="10" fillId="4" borderId="0" xfId="0" applyNumberFormat="1" applyFont="1" applyFill="1" applyBorder="1" applyAlignment="1">
      <alignment horizontal="center" vertical="center"/>
    </xf>
    <xf numFmtId="0" fontId="0" fillId="4" borderId="0" xfId="0" applyFont="1" applyFill="1" applyBorder="1" applyAlignment="1">
      <alignment horizontal="center"/>
    </xf>
    <xf numFmtId="0" fontId="0" fillId="4" borderId="2" xfId="0" applyFont="1" applyFill="1" applyBorder="1" applyAlignment="1">
      <alignment horizontal="center"/>
    </xf>
    <xf numFmtId="182" fontId="10" fillId="4" borderId="3" xfId="0" applyNumberFormat="1" applyFont="1" applyFill="1" applyBorder="1" applyAlignment="1">
      <alignment horizontal="center" vertical="center"/>
    </xf>
    <xf numFmtId="0" fontId="0" fillId="4" borderId="3" xfId="0" applyFont="1" applyFill="1" applyBorder="1" applyAlignment="1">
      <alignment horizontal="center"/>
    </xf>
    <xf numFmtId="0" fontId="0" fillId="4" borderId="4" xfId="0" applyFont="1" applyFill="1" applyBorder="1" applyAlignment="1">
      <alignment horizontal="center"/>
    </xf>
    <xf numFmtId="0" fontId="2" fillId="4" borderId="0" xfId="0" applyFont="1" applyFill="1" applyBorder="1" applyAlignment="1">
      <alignment/>
    </xf>
    <xf numFmtId="0" fontId="3" fillId="5" borderId="1" xfId="0" applyFont="1" applyFill="1" applyBorder="1" applyAlignment="1">
      <alignment horizontal="center"/>
    </xf>
    <xf numFmtId="0" fontId="0" fillId="5" borderId="0" xfId="0" applyFont="1" applyFill="1" applyBorder="1" applyAlignment="1">
      <alignment/>
    </xf>
    <xf numFmtId="0" fontId="4" fillId="5" borderId="0" xfId="0" applyFont="1" applyFill="1" applyBorder="1" applyAlignment="1">
      <alignment/>
    </xf>
    <xf numFmtId="0" fontId="0" fillId="6" borderId="2" xfId="0" applyFill="1" applyBorder="1" applyAlignment="1">
      <alignment/>
    </xf>
    <xf numFmtId="0" fontId="0" fillId="0" borderId="0" xfId="0" applyFill="1" applyAlignment="1">
      <alignment/>
    </xf>
    <xf numFmtId="0" fontId="0" fillId="4" borderId="1" xfId="0" applyFill="1" applyBorder="1" applyAlignment="1">
      <alignment/>
    </xf>
    <xf numFmtId="0" fontId="0" fillId="4" borderId="5" xfId="0" applyFill="1" applyBorder="1" applyAlignment="1">
      <alignment/>
    </xf>
    <xf numFmtId="0" fontId="0" fillId="6" borderId="0" xfId="0" applyFill="1" applyBorder="1" applyAlignment="1">
      <alignment/>
    </xf>
    <xf numFmtId="0" fontId="0" fillId="6" borderId="0" xfId="0" applyFont="1" applyFill="1" applyBorder="1" applyAlignment="1">
      <alignment/>
    </xf>
    <xf numFmtId="0" fontId="0" fillId="4" borderId="0" xfId="0" applyFont="1" applyFill="1" applyBorder="1" applyAlignment="1">
      <alignment/>
    </xf>
    <xf numFmtId="0" fontId="4" fillId="4" borderId="0" xfId="0" applyFont="1" applyFill="1" applyBorder="1" applyAlignment="1">
      <alignment/>
    </xf>
    <xf numFmtId="0" fontId="0" fillId="4" borderId="0" xfId="0" applyFill="1" applyBorder="1" applyAlignment="1">
      <alignment/>
    </xf>
    <xf numFmtId="0" fontId="0" fillId="5" borderId="6" xfId="0" applyFont="1" applyFill="1" applyBorder="1" applyAlignment="1">
      <alignment/>
    </xf>
    <xf numFmtId="0" fontId="0" fillId="5" borderId="1" xfId="0" applyFont="1" applyFill="1" applyBorder="1" applyAlignment="1">
      <alignment/>
    </xf>
    <xf numFmtId="0" fontId="0" fillId="5" borderId="0" xfId="0" applyFont="1" applyFill="1" applyBorder="1" applyAlignment="1">
      <alignment horizontal="left"/>
    </xf>
    <xf numFmtId="0" fontId="0" fillId="5" borderId="7" xfId="0" applyFont="1" applyFill="1" applyBorder="1" applyAlignment="1">
      <alignment horizontal="left"/>
    </xf>
    <xf numFmtId="0" fontId="4" fillId="5" borderId="8" xfId="0" applyFont="1" applyFill="1" applyBorder="1" applyAlignment="1">
      <alignment/>
    </xf>
    <xf numFmtId="0" fontId="4" fillId="5" borderId="7" xfId="0" applyFont="1" applyFill="1" applyBorder="1" applyAlignment="1">
      <alignment/>
    </xf>
    <xf numFmtId="0" fontId="2" fillId="5" borderId="1" xfId="0" applyFont="1" applyFill="1" applyBorder="1" applyAlignment="1">
      <alignment/>
    </xf>
    <xf numFmtId="0" fontId="4" fillId="5" borderId="1" xfId="0" applyFont="1" applyFill="1" applyBorder="1" applyAlignment="1">
      <alignment/>
    </xf>
    <xf numFmtId="0" fontId="0" fillId="5" borderId="7" xfId="0" applyFont="1" applyFill="1" applyBorder="1" applyAlignment="1">
      <alignment/>
    </xf>
    <xf numFmtId="0" fontId="0" fillId="5" borderId="7" xfId="0" applyFont="1" applyFill="1" applyBorder="1" applyAlignment="1" quotePrefix="1">
      <alignment/>
    </xf>
    <xf numFmtId="0" fontId="0" fillId="5" borderId="0" xfId="0" applyFont="1" applyFill="1" applyBorder="1" applyAlignment="1">
      <alignment horizontal="right"/>
    </xf>
    <xf numFmtId="0" fontId="0" fillId="5" borderId="3" xfId="0" applyFont="1" applyFill="1" applyBorder="1" applyAlignment="1">
      <alignment/>
    </xf>
    <xf numFmtId="0" fontId="0" fillId="5" borderId="9" xfId="0" applyFont="1" applyFill="1" applyBorder="1" applyAlignment="1">
      <alignment/>
    </xf>
    <xf numFmtId="0" fontId="4" fillId="5" borderId="10" xfId="0" applyFont="1" applyFill="1" applyBorder="1" applyAlignment="1">
      <alignment/>
    </xf>
    <xf numFmtId="0" fontId="4" fillId="5" borderId="9" xfId="0" applyFont="1" applyFill="1" applyBorder="1" applyAlignment="1">
      <alignment/>
    </xf>
    <xf numFmtId="0" fontId="0" fillId="5" borderId="11" xfId="0" applyFont="1" applyFill="1" applyBorder="1" applyAlignment="1">
      <alignment/>
    </xf>
    <xf numFmtId="0" fontId="0" fillId="5" borderId="10" xfId="0" applyFont="1" applyFill="1" applyBorder="1" applyAlignment="1">
      <alignment/>
    </xf>
    <xf numFmtId="0" fontId="0" fillId="5" borderId="12" xfId="0" applyFont="1" applyFill="1" applyBorder="1" applyAlignment="1">
      <alignment/>
    </xf>
    <xf numFmtId="168" fontId="0" fillId="5" borderId="0" xfId="16" applyNumberFormat="1" applyFont="1" applyFill="1" applyBorder="1" applyAlignment="1">
      <alignment/>
    </xf>
    <xf numFmtId="168" fontId="0" fillId="5" borderId="0" xfId="0" applyNumberFormat="1" applyFont="1" applyFill="1" applyBorder="1" applyAlignment="1">
      <alignment/>
    </xf>
    <xf numFmtId="0" fontId="3" fillId="7" borderId="0" xfId="0" applyFont="1" applyFill="1" applyBorder="1" applyAlignment="1">
      <alignment horizontal="left"/>
    </xf>
    <xf numFmtId="0" fontId="0" fillId="7" borderId="0" xfId="0" applyFont="1" applyFill="1" applyBorder="1" applyAlignment="1">
      <alignment/>
    </xf>
    <xf numFmtId="0" fontId="4" fillId="7" borderId="0" xfId="0" applyFont="1" applyFill="1" applyBorder="1" applyAlignment="1">
      <alignment/>
    </xf>
    <xf numFmtId="0" fontId="4" fillId="7" borderId="7" xfId="0" applyFont="1" applyFill="1" applyBorder="1" applyAlignment="1">
      <alignment/>
    </xf>
    <xf numFmtId="0" fontId="2" fillId="7" borderId="0" xfId="0" applyFont="1" applyFill="1" applyBorder="1" applyAlignment="1">
      <alignment/>
    </xf>
    <xf numFmtId="0" fontId="0" fillId="7" borderId="7" xfId="0" applyFont="1" applyFill="1" applyBorder="1" applyAlignment="1">
      <alignment/>
    </xf>
    <xf numFmtId="0" fontId="0" fillId="7" borderId="7" xfId="0" applyFont="1" applyFill="1" applyBorder="1" applyAlignment="1" quotePrefix="1">
      <alignment/>
    </xf>
    <xf numFmtId="0" fontId="0" fillId="7" borderId="0" xfId="0" applyFont="1" applyFill="1" applyBorder="1" applyAlignment="1">
      <alignment horizontal="right"/>
    </xf>
    <xf numFmtId="0" fontId="0" fillId="7" borderId="6" xfId="0" applyFont="1" applyFill="1" applyBorder="1" applyAlignment="1">
      <alignment/>
    </xf>
    <xf numFmtId="0" fontId="0" fillId="7" borderId="3" xfId="0" applyFont="1" applyFill="1" applyBorder="1" applyAlignment="1">
      <alignment/>
    </xf>
    <xf numFmtId="0" fontId="4" fillId="7" borderId="13" xfId="0" applyFont="1" applyFill="1" applyBorder="1" applyAlignment="1">
      <alignment/>
    </xf>
    <xf numFmtId="0" fontId="4" fillId="7" borderId="2" xfId="0" applyFont="1" applyFill="1" applyBorder="1" applyAlignment="1">
      <alignment/>
    </xf>
    <xf numFmtId="0" fontId="4" fillId="7" borderId="14" xfId="0" applyFont="1" applyFill="1" applyBorder="1" applyAlignment="1">
      <alignment/>
    </xf>
    <xf numFmtId="168" fontId="0" fillId="7" borderId="0" xfId="16" applyNumberFormat="1" applyFont="1" applyFill="1" applyBorder="1" applyAlignment="1">
      <alignment/>
    </xf>
    <xf numFmtId="168" fontId="0" fillId="7" borderId="0" xfId="0" applyNumberFormat="1" applyFont="1" applyFill="1" applyBorder="1" applyAlignment="1">
      <alignment/>
    </xf>
    <xf numFmtId="0" fontId="4" fillId="7" borderId="4" xfId="0" applyFont="1" applyFill="1" applyBorder="1" applyAlignment="1">
      <alignment/>
    </xf>
    <xf numFmtId="0" fontId="0" fillId="4" borderId="0" xfId="0" applyFont="1" applyFill="1" applyBorder="1" applyAlignment="1">
      <alignment horizontal="left" vertical="center"/>
    </xf>
    <xf numFmtId="0" fontId="0" fillId="4" borderId="2" xfId="0" applyFont="1" applyFill="1" applyBorder="1" applyAlignment="1">
      <alignment horizontal="left" vertical="center"/>
    </xf>
    <xf numFmtId="0" fontId="14" fillId="3" borderId="15" xfId="0" applyFont="1" applyFill="1" applyBorder="1" applyAlignment="1">
      <alignment horizontal="left"/>
    </xf>
    <xf numFmtId="0" fontId="14" fillId="3" borderId="1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0" fontId="14" fillId="3" borderId="17" xfId="0" applyFont="1" applyFill="1" applyBorder="1" applyAlignment="1">
      <alignment horizontal="left"/>
    </xf>
    <xf numFmtId="0" fontId="12" fillId="3" borderId="0" xfId="0" applyFont="1" applyFill="1" applyBorder="1" applyAlignment="1">
      <alignment horizontal="left" vertical="center" wrapText="1"/>
    </xf>
    <xf numFmtId="0" fontId="2" fillId="5" borderId="1" xfId="0" applyFont="1" applyFill="1" applyBorder="1" applyAlignment="1">
      <alignment horizontal="left" vertical="center"/>
    </xf>
    <xf numFmtId="0" fontId="2" fillId="7" borderId="0" xfId="0" applyFont="1" applyFill="1" applyBorder="1" applyAlignment="1">
      <alignment horizontal="left" vertical="center"/>
    </xf>
    <xf numFmtId="0" fontId="19" fillId="0" borderId="18" xfId="0" applyFont="1" applyBorder="1" applyAlignment="1">
      <alignment horizontal="center" vertical="center"/>
    </xf>
    <xf numFmtId="166" fontId="20" fillId="0" borderId="19" xfId="0" applyNumberFormat="1" applyFont="1" applyFill="1" applyBorder="1" applyAlignment="1">
      <alignment horizontal="center" vertical="center"/>
    </xf>
    <xf numFmtId="166" fontId="20" fillId="0" borderId="20" xfId="0" applyNumberFormat="1" applyFont="1" applyFill="1" applyBorder="1" applyAlignment="1">
      <alignment horizontal="center"/>
    </xf>
    <xf numFmtId="166" fontId="20" fillId="0" borderId="21" xfId="0" applyNumberFormat="1" applyFont="1" applyFill="1" applyBorder="1" applyAlignment="1">
      <alignment horizontal="center"/>
    </xf>
    <xf numFmtId="0" fontId="20" fillId="0" borderId="0" xfId="0" applyFont="1" applyBorder="1" applyAlignment="1">
      <alignment horizontal="center"/>
    </xf>
    <xf numFmtId="166" fontId="20" fillId="0" borderId="15" xfId="0" applyNumberFormat="1" applyFont="1" applyFill="1" applyBorder="1" applyAlignment="1">
      <alignment horizontal="center"/>
    </xf>
    <xf numFmtId="0" fontId="0" fillId="0" borderId="0" xfId="0" applyAlignment="1">
      <alignment/>
    </xf>
    <xf numFmtId="0" fontId="0" fillId="0" borderId="3" xfId="0" applyFill="1" applyBorder="1" applyAlignment="1">
      <alignment/>
    </xf>
    <xf numFmtId="0" fontId="20" fillId="0" borderId="19" xfId="0" applyFont="1" applyFill="1" applyBorder="1" applyAlignment="1">
      <alignment horizontal="center" vertical="center"/>
    </xf>
    <xf numFmtId="0" fontId="0" fillId="0" borderId="15" xfId="0" applyBorder="1" applyAlignment="1">
      <alignment/>
    </xf>
    <xf numFmtId="0" fontId="0" fillId="0" borderId="3" xfId="0" applyBorder="1" applyAlignment="1">
      <alignment/>
    </xf>
    <xf numFmtId="0" fontId="0" fillId="0" borderId="22" xfId="0" applyFill="1" applyBorder="1" applyAlignment="1">
      <alignment/>
    </xf>
    <xf numFmtId="0" fontId="19" fillId="0" borderId="18" xfId="0" applyFont="1" applyFill="1" applyBorder="1" applyAlignment="1">
      <alignment horizontal="center" vertical="center"/>
    </xf>
    <xf numFmtId="0" fontId="0" fillId="0" borderId="15" xfId="0" applyFill="1" applyBorder="1" applyAlignment="1">
      <alignment/>
    </xf>
    <xf numFmtId="0" fontId="19" fillId="0" borderId="23" xfId="0" applyFont="1" applyFill="1" applyBorder="1" applyAlignment="1">
      <alignment horizontal="center" vertical="center"/>
    </xf>
    <xf numFmtId="0" fontId="0" fillId="0" borderId="15" xfId="0" applyBorder="1" applyAlignment="1">
      <alignment/>
    </xf>
    <xf numFmtId="0" fontId="19" fillId="0" borderId="24" xfId="0" applyFont="1"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2" fontId="20" fillId="0" borderId="28" xfId="0" applyNumberFormat="1" applyFont="1" applyBorder="1" applyAlignment="1">
      <alignment horizontal="center"/>
    </xf>
    <xf numFmtId="0" fontId="20" fillId="0" borderId="29" xfId="0" applyFont="1" applyBorder="1" applyAlignment="1">
      <alignment horizontal="center"/>
    </xf>
    <xf numFmtId="2" fontId="20" fillId="0" borderId="30" xfId="0" applyNumberFormat="1" applyFont="1" applyBorder="1" applyAlignment="1">
      <alignment horizontal="center"/>
    </xf>
    <xf numFmtId="0" fontId="20"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4" fillId="0" borderId="34" xfId="0" applyFont="1" applyBorder="1" applyAlignment="1">
      <alignment horizontal="center"/>
    </xf>
    <xf numFmtId="0" fontId="20" fillId="0" borderId="35" xfId="0" applyFont="1" applyBorder="1" applyAlignment="1">
      <alignment horizontal="center"/>
    </xf>
    <xf numFmtId="0" fontId="20" fillId="0" borderId="36" xfId="0" applyFont="1" applyBorder="1" applyAlignment="1">
      <alignment horizontal="center"/>
    </xf>
    <xf numFmtId="0" fontId="20" fillId="0" borderId="32" xfId="0" applyFont="1" applyBorder="1" applyAlignment="1">
      <alignment horizontal="center"/>
    </xf>
    <xf numFmtId="0" fontId="20" fillId="0" borderId="37" xfId="0" applyFont="1" applyBorder="1" applyAlignment="1">
      <alignment horizontal="center"/>
    </xf>
    <xf numFmtId="2" fontId="20" fillId="0" borderId="38" xfId="0" applyNumberFormat="1" applyFont="1" applyFill="1" applyBorder="1" applyAlignment="1">
      <alignment horizontal="center"/>
    </xf>
    <xf numFmtId="0" fontId="20" fillId="0" borderId="39" xfId="0" applyFont="1" applyFill="1" applyBorder="1" applyAlignment="1">
      <alignment horizontal="center"/>
    </xf>
    <xf numFmtId="0" fontId="20" fillId="0" borderId="0" xfId="0" applyFont="1" applyFill="1" applyBorder="1" applyAlignment="1">
      <alignment horizontal="center"/>
    </xf>
    <xf numFmtId="0" fontId="0" fillId="4" borderId="0" xfId="0" applyFill="1" applyBorder="1" applyAlignment="1">
      <alignment horizontal="left"/>
    </xf>
    <xf numFmtId="182" fontId="19" fillId="3" borderId="1" xfId="0" applyNumberFormat="1" applyFont="1" applyFill="1" applyBorder="1" applyAlignment="1">
      <alignment horizontal="left" vertical="center"/>
    </xf>
    <xf numFmtId="168" fontId="19" fillId="3" borderId="0" xfId="16" applyNumberFormat="1" applyFont="1" applyFill="1" applyBorder="1" applyAlignment="1">
      <alignment vertical="center" wrapText="1"/>
    </xf>
    <xf numFmtId="0" fontId="19" fillId="4" borderId="0" xfId="0" applyFont="1" applyFill="1" applyBorder="1" applyAlignment="1">
      <alignment horizontal="left" vertical="center"/>
    </xf>
    <xf numFmtId="0" fontId="14" fillId="3" borderId="1" xfId="0" applyFont="1" applyFill="1" applyBorder="1" applyAlignment="1">
      <alignment horizontal="left"/>
    </xf>
    <xf numFmtId="182" fontId="19" fillId="3" borderId="0" xfId="0" applyNumberFormat="1" applyFont="1" applyFill="1" applyBorder="1" applyAlignment="1">
      <alignment horizontal="left" vertical="center"/>
    </xf>
    <xf numFmtId="0" fontId="4" fillId="5" borderId="0" xfId="0" applyFont="1" applyFill="1" applyBorder="1" applyAlignment="1">
      <alignment horizontal="left" vertical="center"/>
    </xf>
    <xf numFmtId="0" fontId="4" fillId="5" borderId="9" xfId="0" applyFont="1" applyFill="1" applyBorder="1" applyAlignment="1">
      <alignment horizontal="left" vertical="center"/>
    </xf>
    <xf numFmtId="0" fontId="4" fillId="7" borderId="0" xfId="0" applyFont="1" applyFill="1" applyBorder="1" applyAlignment="1">
      <alignment horizontal="left" vertical="center"/>
    </xf>
    <xf numFmtId="0" fontId="4" fillId="7" borderId="2" xfId="0" applyFont="1" applyFill="1" applyBorder="1" applyAlignment="1">
      <alignment horizontal="left" vertical="center"/>
    </xf>
    <xf numFmtId="0" fontId="0" fillId="0" borderId="0" xfId="0" applyBorder="1" applyAlignment="1">
      <alignment/>
    </xf>
    <xf numFmtId="0" fontId="0" fillId="0" borderId="28" xfId="0" applyBorder="1" applyAlignment="1">
      <alignment/>
    </xf>
    <xf numFmtId="0" fontId="0" fillId="0" borderId="28"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2" xfId="0" applyBorder="1" applyAlignment="1">
      <alignment/>
    </xf>
    <xf numFmtId="0" fontId="0" fillId="0" borderId="5" xfId="0" applyBorder="1" applyAlignment="1">
      <alignment/>
    </xf>
    <xf numFmtId="0" fontId="0" fillId="0" borderId="3" xfId="0" applyBorder="1" applyAlignment="1">
      <alignment/>
    </xf>
    <xf numFmtId="0" fontId="0" fillId="0" borderId="4" xfId="0" applyBorder="1" applyAlignment="1">
      <alignment/>
    </xf>
    <xf numFmtId="0" fontId="0" fillId="0" borderId="0" xfId="0" applyFont="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0" fillId="0" borderId="0" xfId="0" applyFont="1" applyBorder="1" applyAlignment="1">
      <alignment horizontal="right"/>
    </xf>
    <xf numFmtId="0" fontId="0" fillId="0" borderId="0" xfId="0" applyFont="1" applyFill="1" applyBorder="1" applyAlignment="1">
      <alignment horizontal="right"/>
    </xf>
    <xf numFmtId="0" fontId="12" fillId="0" borderId="17" xfId="0" applyFont="1" applyBorder="1" applyAlignment="1">
      <alignment/>
    </xf>
    <xf numFmtId="0" fontId="2" fillId="0" borderId="28" xfId="0" applyFont="1" applyBorder="1" applyAlignment="1">
      <alignment/>
    </xf>
    <xf numFmtId="0" fontId="21" fillId="0" borderId="28" xfId="0" applyFont="1" applyBorder="1" applyAlignment="1">
      <alignment/>
    </xf>
    <xf numFmtId="0" fontId="0" fillId="0" borderId="28" xfId="0" applyFont="1" applyBorder="1" applyAlignment="1">
      <alignment/>
    </xf>
    <xf numFmtId="0" fontId="25" fillId="0" borderId="28" xfId="0" applyFont="1" applyBorder="1" applyAlignment="1">
      <alignment/>
    </xf>
    <xf numFmtId="0" fontId="0" fillId="6" borderId="0" xfId="0" applyFill="1" applyAlignment="1">
      <alignment/>
    </xf>
    <xf numFmtId="0" fontId="19" fillId="3" borderId="1" xfId="0" applyFont="1" applyFill="1" applyBorder="1" applyAlignment="1">
      <alignment horizontal="left" vertical="center" wrapText="1"/>
    </xf>
    <xf numFmtId="0" fontId="0" fillId="4" borderId="2" xfId="0" applyFill="1" applyBorder="1" applyAlignment="1">
      <alignment horizontal="left"/>
    </xf>
    <xf numFmtId="168" fontId="28" fillId="7" borderId="0" xfId="0" applyNumberFormat="1" applyFont="1" applyFill="1" applyBorder="1" applyAlignment="1">
      <alignment/>
    </xf>
    <xf numFmtId="0" fontId="1" fillId="7" borderId="0" xfId="0" applyFont="1" applyFill="1" applyBorder="1" applyAlignment="1">
      <alignment horizontal="right"/>
    </xf>
    <xf numFmtId="0" fontId="31" fillId="0" borderId="24" xfId="0" applyFont="1" applyFill="1" applyBorder="1" applyAlignment="1">
      <alignment/>
    </xf>
    <xf numFmtId="0" fontId="31" fillId="0" borderId="28" xfId="0" applyFont="1" applyFill="1" applyBorder="1" applyAlignment="1">
      <alignment/>
    </xf>
    <xf numFmtId="0" fontId="0" fillId="0" borderId="28" xfId="0" applyFill="1" applyBorder="1" applyAlignment="1">
      <alignment/>
    </xf>
    <xf numFmtId="0" fontId="32" fillId="0" borderId="32" xfId="0" applyFont="1" applyBorder="1" applyAlignment="1">
      <alignment horizontal="center"/>
    </xf>
    <xf numFmtId="2" fontId="32" fillId="0" borderId="28" xfId="0" applyNumberFormat="1" applyFont="1" applyBorder="1" applyAlignment="1">
      <alignment horizontal="center"/>
    </xf>
    <xf numFmtId="0" fontId="32" fillId="0" borderId="29" xfId="0" applyFont="1" applyBorder="1" applyAlignment="1">
      <alignment horizontal="center"/>
    </xf>
    <xf numFmtId="0" fontId="4" fillId="5" borderId="11" xfId="0" applyFont="1" applyFill="1" applyBorder="1" applyAlignment="1">
      <alignment horizontal="left" vertical="center"/>
    </xf>
    <xf numFmtId="0" fontId="2" fillId="0" borderId="0" xfId="0" applyFont="1" applyFill="1" applyBorder="1" applyAlignment="1">
      <alignment horizontal="center"/>
    </xf>
    <xf numFmtId="0" fontId="0" fillId="5" borderId="40" xfId="0" applyFont="1" applyFill="1" applyBorder="1" applyAlignment="1">
      <alignment/>
    </xf>
    <xf numFmtId="0" fontId="0" fillId="5" borderId="0" xfId="0" applyNumberFormat="1" applyFont="1" applyFill="1" applyBorder="1" applyAlignment="1">
      <alignment horizontal="right"/>
    </xf>
    <xf numFmtId="0" fontId="2" fillId="7" borderId="1" xfId="0" applyFont="1" applyFill="1" applyBorder="1" applyAlignment="1">
      <alignment horizontal="left" vertical="center"/>
    </xf>
    <xf numFmtId="0" fontId="4" fillId="7" borderId="11" xfId="0" applyFont="1" applyFill="1" applyBorder="1" applyAlignment="1">
      <alignment horizontal="left" vertical="center"/>
    </xf>
    <xf numFmtId="0" fontId="3" fillId="7" borderId="1" xfId="0" applyFont="1" applyFill="1" applyBorder="1" applyAlignment="1">
      <alignment horizontal="center"/>
    </xf>
    <xf numFmtId="0" fontId="0" fillId="7" borderId="9" xfId="0" applyFont="1" applyFill="1" applyBorder="1" applyAlignment="1">
      <alignment/>
    </xf>
    <xf numFmtId="0" fontId="0" fillId="7" borderId="1" xfId="0" applyFont="1" applyFill="1" applyBorder="1" applyAlignment="1">
      <alignment/>
    </xf>
    <xf numFmtId="0" fontId="0" fillId="7" borderId="0" xfId="0" applyFont="1" applyFill="1" applyBorder="1" applyAlignment="1">
      <alignment horizontal="left"/>
    </xf>
    <xf numFmtId="0" fontId="0" fillId="7" borderId="0" xfId="0" applyNumberFormat="1" applyFont="1" applyFill="1" applyBorder="1" applyAlignment="1">
      <alignment horizontal="right"/>
    </xf>
    <xf numFmtId="0" fontId="0" fillId="7" borderId="7" xfId="0" applyFont="1" applyFill="1" applyBorder="1" applyAlignment="1">
      <alignment horizontal="left"/>
    </xf>
    <xf numFmtId="0" fontId="4" fillId="7" borderId="8" xfId="0" applyFont="1" applyFill="1" applyBorder="1" applyAlignment="1">
      <alignment/>
    </xf>
    <xf numFmtId="0" fontId="4" fillId="7" borderId="10" xfId="0" applyFont="1" applyFill="1" applyBorder="1" applyAlignment="1">
      <alignment/>
    </xf>
    <xf numFmtId="0" fontId="2" fillId="7" borderId="1" xfId="0" applyFont="1" applyFill="1" applyBorder="1" applyAlignment="1">
      <alignment/>
    </xf>
    <xf numFmtId="0" fontId="4" fillId="7" borderId="9" xfId="0" applyFont="1" applyFill="1" applyBorder="1" applyAlignment="1">
      <alignment/>
    </xf>
    <xf numFmtId="0" fontId="4" fillId="7" borderId="1" xfId="0" applyFont="1" applyFill="1" applyBorder="1" applyAlignment="1">
      <alignment/>
    </xf>
    <xf numFmtId="0" fontId="0" fillId="7" borderId="40" xfId="0" applyFont="1" applyFill="1" applyBorder="1" applyAlignment="1">
      <alignment/>
    </xf>
    <xf numFmtId="0" fontId="0" fillId="0" borderId="9" xfId="0" applyBorder="1" applyAlignment="1">
      <alignment/>
    </xf>
    <xf numFmtId="0" fontId="2" fillId="0" borderId="9" xfId="0" applyFont="1" applyBorder="1" applyAlignment="1">
      <alignment/>
    </xf>
    <xf numFmtId="166" fontId="20" fillId="0" borderId="0" xfId="0" applyNumberFormat="1" applyFont="1" applyFill="1" applyBorder="1" applyAlignment="1">
      <alignment horizontal="center" vertical="center"/>
    </xf>
    <xf numFmtId="166" fontId="20" fillId="0" borderId="0" xfId="0" applyNumberFormat="1" applyFont="1" applyFill="1" applyBorder="1" applyAlignment="1">
      <alignment horizontal="center"/>
    </xf>
    <xf numFmtId="0" fontId="0" fillId="0" borderId="0" xfId="0" applyFill="1" applyBorder="1" applyAlignment="1">
      <alignment/>
    </xf>
    <xf numFmtId="0" fontId="20"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2" fontId="20" fillId="0" borderId="0" xfId="0" applyNumberFormat="1" applyFont="1" applyFill="1" applyBorder="1" applyAlignment="1">
      <alignment horizontal="center"/>
    </xf>
    <xf numFmtId="0" fontId="0" fillId="0" borderId="0" xfId="0" applyFill="1" applyBorder="1" applyAlignment="1">
      <alignment/>
    </xf>
    <xf numFmtId="0" fontId="20" fillId="0" borderId="0" xfId="0" applyFont="1" applyFill="1" applyBorder="1" applyAlignment="1">
      <alignment horizontal="center"/>
    </xf>
    <xf numFmtId="0" fontId="19" fillId="0" borderId="0" xfId="0" applyFont="1" applyFill="1" applyBorder="1" applyAlignment="1">
      <alignment horizontal="center"/>
    </xf>
    <xf numFmtId="0" fontId="24" fillId="0" borderId="0" xfId="0" applyFont="1" applyFill="1" applyBorder="1" applyAlignment="1">
      <alignment horizontal="center"/>
    </xf>
    <xf numFmtId="0" fontId="32" fillId="0" borderId="0" xfId="0" applyFont="1" applyFill="1" applyBorder="1" applyAlignment="1">
      <alignment horizontal="center"/>
    </xf>
    <xf numFmtId="2" fontId="32" fillId="0" borderId="0" xfId="0" applyNumberFormat="1" applyFont="1" applyFill="1" applyBorder="1" applyAlignment="1">
      <alignment horizontal="center"/>
    </xf>
    <xf numFmtId="0" fontId="18" fillId="0" borderId="0" xfId="0" applyFont="1" applyFill="1" applyBorder="1" applyAlignment="1">
      <alignment horizontal="center"/>
    </xf>
    <xf numFmtId="0" fontId="12" fillId="0" borderId="0" xfId="0" applyFont="1" applyFill="1" applyBorder="1" applyAlignment="1">
      <alignment horizontal="center" vertical="center"/>
    </xf>
    <xf numFmtId="0" fontId="6" fillId="0" borderId="0" xfId="0" applyFont="1" applyFill="1" applyBorder="1" applyAlignment="1">
      <alignment horizontal="center"/>
    </xf>
    <xf numFmtId="0" fontId="12"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vertical="center"/>
    </xf>
    <xf numFmtId="0" fontId="0" fillId="0" borderId="0" xfId="0" applyFont="1" applyFill="1" applyBorder="1" applyAlignment="1">
      <alignment/>
    </xf>
    <xf numFmtId="0" fontId="0" fillId="0" borderId="28" xfId="0" applyFont="1" applyBorder="1" applyAlignment="1">
      <alignment/>
    </xf>
    <xf numFmtId="9" fontId="0" fillId="0" borderId="28" xfId="0" applyNumberFormat="1" applyFont="1" applyBorder="1" applyAlignment="1">
      <alignment/>
    </xf>
    <xf numFmtId="0" fontId="0" fillId="0" borderId="28" xfId="0" applyFont="1" applyBorder="1" applyAlignment="1">
      <alignment/>
    </xf>
    <xf numFmtId="9" fontId="0" fillId="0" borderId="28" xfId="0" applyNumberFormat="1" applyFont="1" applyBorder="1" applyAlignment="1">
      <alignment/>
    </xf>
    <xf numFmtId="0" fontId="0" fillId="0" borderId="28" xfId="0" applyFont="1" applyFill="1" applyBorder="1" applyAlignment="1">
      <alignment/>
    </xf>
    <xf numFmtId="9" fontId="0" fillId="0" borderId="28" xfId="0" applyNumberFormat="1" applyFont="1" applyFill="1" applyBorder="1" applyAlignment="1">
      <alignment/>
    </xf>
    <xf numFmtId="9" fontId="0" fillId="0" borderId="28" xfId="0" applyNumberFormat="1" applyFont="1" applyBorder="1" applyAlignment="1">
      <alignment/>
    </xf>
    <xf numFmtId="194" fontId="0" fillId="0" borderId="28" xfId="0" applyNumberFormat="1" applyFont="1" applyBorder="1" applyAlignment="1">
      <alignment/>
    </xf>
    <xf numFmtId="0" fontId="2" fillId="3" borderId="1" xfId="0" applyFont="1" applyFill="1" applyBorder="1" applyAlignment="1">
      <alignment/>
    </xf>
    <xf numFmtId="0" fontId="0" fillId="3" borderId="6" xfId="0" applyFont="1" applyFill="1" applyBorder="1" applyAlignment="1">
      <alignment/>
    </xf>
    <xf numFmtId="168" fontId="0" fillId="3" borderId="6" xfId="0" applyNumberFormat="1" applyFont="1" applyFill="1" applyBorder="1" applyAlignment="1">
      <alignment/>
    </xf>
    <xf numFmtId="0" fontId="0" fillId="3" borderId="11" xfId="0" applyFont="1" applyFill="1" applyBorder="1" applyAlignment="1">
      <alignment/>
    </xf>
    <xf numFmtId="0" fontId="0" fillId="3" borderId="9" xfId="0" applyFont="1" applyFill="1" applyBorder="1" applyAlignment="1">
      <alignment/>
    </xf>
    <xf numFmtId="0" fontId="0" fillId="3" borderId="7" xfId="0" applyFont="1" applyFill="1" applyBorder="1" applyAlignment="1">
      <alignment/>
    </xf>
    <xf numFmtId="0" fontId="0" fillId="3" borderId="3" xfId="0" applyFont="1" applyFill="1" applyBorder="1" applyAlignment="1">
      <alignment/>
    </xf>
    <xf numFmtId="168" fontId="0" fillId="3" borderId="3" xfId="16" applyNumberFormat="1" applyFont="1" applyFill="1" applyBorder="1" applyAlignment="1">
      <alignment/>
    </xf>
    <xf numFmtId="0" fontId="0" fillId="3" borderId="12" xfId="0" applyFont="1" applyFill="1" applyBorder="1" applyAlignment="1">
      <alignment/>
    </xf>
    <xf numFmtId="0" fontId="2" fillId="3" borderId="0" xfId="0" applyFont="1" applyFill="1" applyBorder="1" applyAlignment="1">
      <alignment/>
    </xf>
    <xf numFmtId="0" fontId="0" fillId="3" borderId="13" xfId="0" applyFont="1" applyFill="1" applyBorder="1" applyAlignment="1">
      <alignment/>
    </xf>
    <xf numFmtId="0" fontId="0" fillId="3" borderId="2" xfId="0" applyFont="1" applyFill="1" applyBorder="1" applyAlignment="1">
      <alignment/>
    </xf>
    <xf numFmtId="0" fontId="0" fillId="3" borderId="4" xfId="0" applyFont="1" applyFill="1" applyBorder="1" applyAlignment="1">
      <alignment/>
    </xf>
    <xf numFmtId="196" fontId="4" fillId="8" borderId="28" xfId="0" applyNumberFormat="1" applyFont="1" applyFill="1" applyBorder="1" applyAlignment="1" applyProtection="1">
      <alignment/>
      <protection locked="0"/>
    </xf>
    <xf numFmtId="0" fontId="0" fillId="0" borderId="28" xfId="0" applyFont="1" applyFill="1" applyBorder="1" applyAlignment="1">
      <alignment/>
    </xf>
    <xf numFmtId="3" fontId="0" fillId="5" borderId="0" xfId="0" applyNumberFormat="1" applyFont="1" applyFill="1" applyBorder="1" applyAlignment="1">
      <alignment/>
    </xf>
    <xf numFmtId="3" fontId="0" fillId="7" borderId="0" xfId="16" applyNumberFormat="1" applyFont="1" applyFill="1" applyBorder="1" applyAlignment="1">
      <alignment/>
    </xf>
    <xf numFmtId="4" fontId="0" fillId="5" borderId="7" xfId="16" applyNumberFormat="1" applyFont="1" applyFill="1" applyBorder="1" applyAlignment="1">
      <alignment/>
    </xf>
    <xf numFmtId="4" fontId="0" fillId="5" borderId="3" xfId="16" applyNumberFormat="1" applyFont="1" applyFill="1" applyBorder="1" applyAlignment="1">
      <alignment/>
    </xf>
    <xf numFmtId="4" fontId="0" fillId="7" borderId="7" xfId="0" applyNumberFormat="1" applyFont="1" applyFill="1" applyBorder="1" applyAlignment="1">
      <alignment/>
    </xf>
    <xf numFmtId="4" fontId="0" fillId="7" borderId="3" xfId="0" applyNumberFormat="1" applyFont="1" applyFill="1" applyBorder="1" applyAlignment="1">
      <alignment/>
    </xf>
    <xf numFmtId="4" fontId="0" fillId="3" borderId="0" xfId="0" applyNumberFormat="1" applyFont="1" applyFill="1" applyBorder="1" applyAlignment="1">
      <alignment/>
    </xf>
    <xf numFmtId="0" fontId="0" fillId="5" borderId="6" xfId="0" applyFont="1" applyFill="1" applyBorder="1" applyAlignment="1">
      <alignment horizontal="left"/>
    </xf>
    <xf numFmtId="0" fontId="0" fillId="7" borderId="6" xfId="0" applyFont="1" applyFill="1" applyBorder="1" applyAlignment="1">
      <alignment horizontal="left"/>
    </xf>
    <xf numFmtId="0" fontId="2" fillId="4" borderId="1" xfId="0" applyFont="1" applyFill="1" applyBorder="1" applyAlignment="1">
      <alignment/>
    </xf>
    <xf numFmtId="0" fontId="0" fillId="4" borderId="1" xfId="0" applyNumberFormat="1" applyFill="1" applyBorder="1" applyAlignment="1">
      <alignment/>
    </xf>
    <xf numFmtId="4" fontId="0" fillId="5" borderId="0" xfId="0" applyNumberFormat="1" applyFont="1" applyFill="1" applyBorder="1" applyAlignment="1">
      <alignment/>
    </xf>
    <xf numFmtId="4" fontId="0" fillId="7" borderId="0" xfId="0" applyNumberFormat="1" applyFont="1" applyFill="1" applyBorder="1" applyAlignment="1">
      <alignment/>
    </xf>
    <xf numFmtId="4" fontId="4" fillId="8" borderId="28" xfId="0" applyNumberFormat="1" applyFont="1" applyFill="1" applyBorder="1" applyAlignment="1" applyProtection="1">
      <alignment/>
      <protection locked="0"/>
    </xf>
    <xf numFmtId="3" fontId="0" fillId="7" borderId="0" xfId="0" applyNumberFormat="1" applyFont="1" applyFill="1" applyBorder="1" applyAlignment="1">
      <alignment/>
    </xf>
    <xf numFmtId="4" fontId="4" fillId="8" borderId="35" xfId="0" applyNumberFormat="1" applyFont="1" applyFill="1" applyBorder="1" applyAlignment="1" applyProtection="1">
      <alignment/>
      <protection locked="0"/>
    </xf>
    <xf numFmtId="3" fontId="0" fillId="5" borderId="0" xfId="16" applyNumberFormat="1" applyFont="1" applyFill="1" applyBorder="1" applyAlignment="1">
      <alignment/>
    </xf>
    <xf numFmtId="3" fontId="0" fillId="5" borderId="7" xfId="16" applyNumberFormat="1" applyFont="1" applyFill="1" applyBorder="1" applyAlignment="1">
      <alignment/>
    </xf>
    <xf numFmtId="3" fontId="4" fillId="8" borderId="28" xfId="0" applyNumberFormat="1" applyFont="1" applyFill="1" applyBorder="1" applyAlignment="1" applyProtection="1">
      <alignment/>
      <protection locked="0"/>
    </xf>
    <xf numFmtId="3" fontId="0" fillId="5" borderId="7" xfId="0" applyNumberFormat="1" applyFont="1" applyFill="1" applyBorder="1" applyAlignment="1">
      <alignment/>
    </xf>
    <xf numFmtId="3" fontId="0" fillId="7" borderId="7" xfId="0" applyNumberFormat="1" applyFont="1" applyFill="1" applyBorder="1" applyAlignment="1">
      <alignment/>
    </xf>
    <xf numFmtId="4" fontId="0" fillId="5" borderId="6" xfId="0" applyNumberFormat="1" applyFont="1" applyFill="1" applyBorder="1" applyAlignment="1">
      <alignment/>
    </xf>
    <xf numFmtId="4" fontId="0" fillId="7" borderId="6" xfId="16" applyNumberFormat="1" applyFont="1" applyFill="1" applyBorder="1" applyAlignment="1">
      <alignment/>
    </xf>
    <xf numFmtId="3" fontId="0" fillId="5" borderId="7" xfId="0" applyNumberFormat="1" applyFont="1" applyFill="1" applyBorder="1" applyAlignment="1">
      <alignment/>
    </xf>
    <xf numFmtId="3" fontId="0" fillId="7" borderId="7" xfId="0" applyNumberFormat="1" applyFont="1" applyFill="1" applyBorder="1" applyAlignment="1">
      <alignment/>
    </xf>
    <xf numFmtId="3" fontId="0" fillId="9" borderId="7" xfId="0" applyNumberFormat="1" applyFont="1" applyFill="1" applyBorder="1" applyAlignment="1">
      <alignment/>
    </xf>
    <xf numFmtId="3" fontId="2" fillId="7" borderId="0" xfId="0" applyNumberFormat="1" applyFont="1" applyFill="1" applyBorder="1" applyAlignment="1">
      <alignment/>
    </xf>
    <xf numFmtId="4" fontId="4" fillId="8" borderId="28" xfId="0" applyNumberFormat="1" applyFont="1" applyFill="1" applyBorder="1" applyAlignment="1">
      <alignment/>
    </xf>
    <xf numFmtId="182" fontId="20" fillId="3" borderId="1" xfId="0" applyNumberFormat="1" applyFont="1" applyFill="1" applyBorder="1" applyAlignment="1">
      <alignment horizontal="left" vertical="center"/>
    </xf>
    <xf numFmtId="0" fontId="20" fillId="4" borderId="0" xfId="0" applyFont="1" applyFill="1" applyBorder="1" applyAlignment="1">
      <alignment horizontal="left" vertical="center"/>
    </xf>
    <xf numFmtId="182" fontId="20" fillId="3" borderId="8" xfId="0" applyNumberFormat="1" applyFont="1" applyFill="1" applyBorder="1" applyAlignment="1">
      <alignment horizontal="left" vertical="center"/>
    </xf>
    <xf numFmtId="0" fontId="20" fillId="4" borderId="7" xfId="0" applyFont="1" applyFill="1" applyBorder="1" applyAlignment="1">
      <alignment horizontal="left" vertical="center"/>
    </xf>
    <xf numFmtId="0" fontId="2" fillId="0" borderId="41"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2" fontId="0" fillId="0" borderId="28" xfId="0" applyNumberFormat="1" applyFont="1" applyBorder="1" applyAlignment="1">
      <alignment horizontal="center"/>
    </xf>
    <xf numFmtId="0" fontId="0" fillId="0" borderId="29" xfId="0" applyFont="1" applyBorder="1" applyAlignment="1">
      <alignment horizontal="center"/>
    </xf>
    <xf numFmtId="2" fontId="0" fillId="0" borderId="30" xfId="0" applyNumberFormat="1" applyFont="1" applyBorder="1" applyAlignment="1">
      <alignment horizontal="center"/>
    </xf>
    <xf numFmtId="0" fontId="0" fillId="0" borderId="31" xfId="0" applyFont="1" applyBorder="1" applyAlignment="1">
      <alignment horizontal="center"/>
    </xf>
    <xf numFmtId="3" fontId="0" fillId="0" borderId="28" xfId="0" applyNumberFormat="1" applyFont="1" applyFill="1" applyBorder="1" applyAlignment="1">
      <alignment/>
    </xf>
    <xf numFmtId="3" fontId="0" fillId="0" borderId="28" xfId="0" applyNumberFormat="1" applyFont="1" applyBorder="1" applyAlignment="1">
      <alignment/>
    </xf>
    <xf numFmtId="10" fontId="0" fillId="5" borderId="7" xfId="0" applyNumberFormat="1" applyFont="1" applyFill="1" applyBorder="1" applyAlignment="1">
      <alignment horizontal="right"/>
    </xf>
    <xf numFmtId="10" fontId="0" fillId="7" borderId="7" xfId="0" applyNumberFormat="1" applyFont="1" applyFill="1" applyBorder="1" applyAlignment="1">
      <alignment horizontal="right"/>
    </xf>
    <xf numFmtId="0" fontId="2"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10" fontId="19" fillId="4" borderId="0" xfId="0" applyNumberFormat="1" applyFont="1" applyFill="1" applyBorder="1" applyAlignment="1">
      <alignment horizontal="right"/>
    </xf>
    <xf numFmtId="0" fontId="38" fillId="5" borderId="7" xfId="0" applyFont="1" applyFill="1" applyBorder="1" applyAlignment="1">
      <alignment/>
    </xf>
    <xf numFmtId="0" fontId="28" fillId="7" borderId="7" xfId="0" applyFont="1" applyFill="1" applyBorder="1" applyAlignment="1">
      <alignment/>
    </xf>
    <xf numFmtId="0" fontId="39" fillId="4" borderId="0" xfId="0" applyFont="1" applyFill="1" applyBorder="1" applyAlignment="1">
      <alignment horizontal="left"/>
    </xf>
    <xf numFmtId="0" fontId="4" fillId="8" borderId="35" xfId="0" applyFont="1" applyFill="1" applyBorder="1" applyAlignment="1" applyProtection="1">
      <alignment horizontal="center"/>
      <protection/>
    </xf>
    <xf numFmtId="196" fontId="4" fillId="8" borderId="28" xfId="0" applyNumberFormat="1" applyFont="1" applyFill="1" applyBorder="1" applyAlignment="1" applyProtection="1">
      <alignment/>
      <protection/>
    </xf>
    <xf numFmtId="4" fontId="0" fillId="3" borderId="0" xfId="0" applyNumberFormat="1" applyFont="1" applyFill="1" applyBorder="1" applyAlignment="1" applyProtection="1">
      <alignment/>
      <protection/>
    </xf>
    <xf numFmtId="10" fontId="38" fillId="5" borderId="1" xfId="0" applyNumberFormat="1" applyFont="1" applyFill="1" applyBorder="1" applyAlignment="1">
      <alignment/>
    </xf>
    <xf numFmtId="10" fontId="38" fillId="5" borderId="8" xfId="0" applyNumberFormat="1" applyFont="1" applyFill="1" applyBorder="1" applyAlignment="1">
      <alignment/>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2" fillId="0" borderId="0" xfId="0" applyFont="1" applyFill="1" applyBorder="1" applyAlignment="1">
      <alignment/>
    </xf>
    <xf numFmtId="0" fontId="0" fillId="0" borderId="0" xfId="0" applyFill="1" applyBorder="1" applyAlignment="1">
      <alignment horizontal="right"/>
    </xf>
    <xf numFmtId="0" fontId="28" fillId="7" borderId="0" xfId="0" applyFont="1" applyFill="1" applyBorder="1" applyAlignment="1">
      <alignment/>
    </xf>
    <xf numFmtId="0" fontId="4" fillId="7" borderId="40" xfId="0" applyFont="1" applyFill="1" applyBorder="1" applyAlignment="1">
      <alignment/>
    </xf>
    <xf numFmtId="0" fontId="0" fillId="5" borderId="7" xfId="0" applyFont="1" applyFill="1" applyBorder="1" applyAlignment="1">
      <alignment horizontal="right"/>
    </xf>
    <xf numFmtId="191" fontId="0" fillId="7" borderId="0" xfId="0" applyNumberFormat="1" applyFont="1" applyFill="1" applyBorder="1" applyAlignment="1">
      <alignment/>
    </xf>
    <xf numFmtId="0" fontId="42" fillId="0" borderId="17" xfId="0" applyFont="1" applyBorder="1" applyAlignment="1">
      <alignment/>
    </xf>
    <xf numFmtId="0" fontId="21" fillId="0" borderId="28" xfId="0" applyFont="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Border="1" applyAlignment="1">
      <alignment/>
    </xf>
    <xf numFmtId="0" fontId="25" fillId="0" borderId="0" xfId="0" applyFont="1" applyBorder="1" applyAlignment="1">
      <alignment horizontal="center"/>
    </xf>
    <xf numFmtId="0" fontId="21" fillId="0" borderId="3" xfId="0" applyFont="1" applyBorder="1" applyAlignment="1">
      <alignment/>
    </xf>
    <xf numFmtId="0" fontId="21" fillId="0" borderId="0" xfId="0" applyFont="1" applyFill="1" applyBorder="1" applyAlignment="1">
      <alignment/>
    </xf>
    <xf numFmtId="3" fontId="19" fillId="3" borderId="0" xfId="16" applyNumberFormat="1" applyFont="1" applyFill="1" applyBorder="1" applyAlignment="1">
      <alignment vertical="center" wrapText="1"/>
    </xf>
    <xf numFmtId="3" fontId="0" fillId="3" borderId="0" xfId="0" applyNumberFormat="1" applyFont="1" applyFill="1" applyBorder="1" applyAlignment="1">
      <alignment/>
    </xf>
    <xf numFmtId="3" fontId="0" fillId="3" borderId="0" xfId="16" applyNumberFormat="1" applyFont="1" applyFill="1" applyBorder="1" applyAlignment="1">
      <alignment/>
    </xf>
    <xf numFmtId="1" fontId="20" fillId="3" borderId="0" xfId="16" applyNumberFormat="1" applyFont="1" applyFill="1" applyBorder="1" applyAlignment="1">
      <alignment horizontal="right" vertical="center" wrapText="1"/>
    </xf>
    <xf numFmtId="1" fontId="20" fillId="3" borderId="7" xfId="16" applyNumberFormat="1" applyFont="1" applyFill="1" applyBorder="1" applyAlignment="1">
      <alignment vertical="center" wrapText="1"/>
    </xf>
    <xf numFmtId="1" fontId="19" fillId="3" borderId="0" xfId="16" applyNumberFormat="1" applyFont="1" applyFill="1" applyBorder="1" applyAlignment="1">
      <alignment vertical="center" wrapText="1"/>
    </xf>
    <xf numFmtId="1" fontId="19" fillId="3" borderId="0" xfId="16" applyNumberFormat="1" applyFont="1" applyFill="1" applyBorder="1" applyAlignment="1">
      <alignment horizontal="right" vertical="center" wrapText="1"/>
    </xf>
    <xf numFmtId="0" fontId="4" fillId="5" borderId="0" xfId="0" applyFont="1" applyFill="1" applyBorder="1" applyAlignment="1">
      <alignment horizontal="center"/>
    </xf>
    <xf numFmtId="0" fontId="0" fillId="2" borderId="0" xfId="0" applyFill="1" applyBorder="1" applyAlignment="1">
      <alignment/>
    </xf>
    <xf numFmtId="0" fontId="0" fillId="9" borderId="0" xfId="0" applyFill="1" applyAlignment="1">
      <alignment/>
    </xf>
    <xf numFmtId="0" fontId="0" fillId="5" borderId="0" xfId="0" applyFont="1" applyFill="1" applyBorder="1" applyAlignment="1">
      <alignment horizontal="left" vertical="center"/>
    </xf>
    <xf numFmtId="1" fontId="4" fillId="8" borderId="28" xfId="0" applyNumberFormat="1" applyFont="1" applyFill="1" applyBorder="1" applyAlignment="1" applyProtection="1">
      <alignment/>
      <protection locked="0"/>
    </xf>
    <xf numFmtId="0" fontId="0" fillId="5" borderId="0" xfId="0" applyFont="1" applyFill="1" applyBorder="1" applyAlignment="1">
      <alignment horizontal="center"/>
    </xf>
    <xf numFmtId="0" fontId="0" fillId="7" borderId="0" xfId="0" applyFont="1" applyFill="1" applyBorder="1" applyAlignment="1">
      <alignment horizontal="center"/>
    </xf>
    <xf numFmtId="0" fontId="2" fillId="0" borderId="0" xfId="0" applyFont="1" applyAlignment="1">
      <alignment horizontal="center"/>
    </xf>
    <xf numFmtId="3" fontId="4" fillId="8" borderId="28" xfId="0" applyNumberFormat="1" applyFont="1" applyFill="1" applyBorder="1" applyAlignment="1" applyProtection="1">
      <alignment horizontal="center"/>
      <protection locked="0"/>
    </xf>
    <xf numFmtId="0" fontId="19" fillId="0" borderId="0" xfId="0" applyFont="1" applyAlignment="1">
      <alignment/>
    </xf>
    <xf numFmtId="3" fontId="4" fillId="8" borderId="28" xfId="0" applyNumberFormat="1" applyFont="1" applyFill="1" applyBorder="1" applyAlignment="1" applyProtection="1">
      <alignment horizontal="right"/>
      <protection locked="0"/>
    </xf>
    <xf numFmtId="0" fontId="0" fillId="4" borderId="0" xfId="0" applyFont="1" applyFill="1" applyBorder="1" applyAlignment="1">
      <alignment horizontal="left"/>
    </xf>
    <xf numFmtId="0" fontId="4" fillId="8" borderId="28" xfId="0" applyFont="1" applyFill="1" applyBorder="1" applyAlignment="1" applyProtection="1">
      <alignment horizontal="center"/>
      <protection locked="0"/>
    </xf>
    <xf numFmtId="4" fontId="0" fillId="5" borderId="0" xfId="0" applyNumberFormat="1" applyFont="1" applyFill="1" applyBorder="1" applyAlignment="1" applyProtection="1">
      <alignment/>
      <protection/>
    </xf>
    <xf numFmtId="0" fontId="0" fillId="5" borderId="0" xfId="0" applyFont="1" applyFill="1" applyBorder="1" applyAlignment="1" applyProtection="1">
      <alignment/>
      <protection/>
    </xf>
    <xf numFmtId="0" fontId="0" fillId="7" borderId="0" xfId="0" applyFont="1" applyFill="1" applyBorder="1" applyAlignment="1" applyProtection="1">
      <alignment/>
      <protection/>
    </xf>
    <xf numFmtId="4" fontId="4" fillId="7" borderId="0" xfId="0" applyNumberFormat="1" applyFont="1" applyFill="1" applyBorder="1" applyAlignment="1" applyProtection="1">
      <alignment/>
      <protection/>
    </xf>
    <xf numFmtId="0" fontId="4" fillId="7" borderId="0" xfId="0" applyFont="1" applyFill="1" applyBorder="1" applyAlignment="1" applyProtection="1">
      <alignment/>
      <protection/>
    </xf>
    <xf numFmtId="3" fontId="0" fillId="7" borderId="0" xfId="16" applyNumberFormat="1" applyFont="1" applyFill="1" applyBorder="1" applyAlignment="1" applyProtection="1">
      <alignment/>
      <protection/>
    </xf>
    <xf numFmtId="0" fontId="43" fillId="0" borderId="0" xfId="0" applyFont="1" applyAlignment="1">
      <alignment/>
    </xf>
    <xf numFmtId="0" fontId="0" fillId="0" borderId="0" xfId="0" applyBorder="1" applyAlignment="1">
      <alignment/>
    </xf>
    <xf numFmtId="0" fontId="0" fillId="7" borderId="44" xfId="0" applyFont="1" applyFill="1" applyBorder="1" applyAlignment="1">
      <alignment/>
    </xf>
    <xf numFmtId="0" fontId="4" fillId="7" borderId="45" xfId="0" applyFont="1" applyFill="1" applyBorder="1" applyAlignment="1" applyProtection="1">
      <alignment horizontal="center"/>
      <protection/>
    </xf>
    <xf numFmtId="0" fontId="19" fillId="0" borderId="46" xfId="0" applyFont="1" applyBorder="1" applyAlignment="1">
      <alignment horizontal="center"/>
    </xf>
    <xf numFmtId="0" fontId="19" fillId="0" borderId="47" xfId="0" applyFont="1" applyBorder="1" applyAlignment="1">
      <alignment horizontal="center"/>
    </xf>
    <xf numFmtId="0" fontId="19" fillId="0" borderId="48" xfId="0" applyFont="1" applyBorder="1" applyAlignment="1">
      <alignment horizontal="center"/>
    </xf>
    <xf numFmtId="0" fontId="12" fillId="0" borderId="49" xfId="0" applyFont="1" applyBorder="1" applyAlignment="1">
      <alignment horizontal="center"/>
    </xf>
    <xf numFmtId="0" fontId="12" fillId="0" borderId="50" xfId="0" applyFont="1" applyBorder="1" applyAlignment="1">
      <alignment horizontal="center"/>
    </xf>
    <xf numFmtId="0" fontId="2" fillId="0" borderId="50" xfId="0" applyFont="1" applyBorder="1" applyAlignment="1">
      <alignment horizontal="center"/>
    </xf>
    <xf numFmtId="0" fontId="0" fillId="0" borderId="0" xfId="0" applyFont="1" applyBorder="1" applyAlignment="1">
      <alignment horizontal="center"/>
    </xf>
    <xf numFmtId="0" fontId="12" fillId="0" borderId="51" xfId="0" applyFont="1" applyBorder="1" applyAlignment="1">
      <alignment horizontal="center"/>
    </xf>
    <xf numFmtId="4" fontId="0" fillId="0" borderId="28" xfId="0" applyNumberFormat="1" applyFont="1" applyBorder="1" applyAlignment="1">
      <alignment/>
    </xf>
    <xf numFmtId="0" fontId="21" fillId="0" borderId="45" xfId="0" applyFont="1" applyBorder="1" applyAlignment="1">
      <alignment/>
    </xf>
    <xf numFmtId="0" fontId="0" fillId="0" borderId="6" xfId="0" applyBorder="1" applyAlignment="1">
      <alignment/>
    </xf>
    <xf numFmtId="0" fontId="0" fillId="0" borderId="6" xfId="0" applyFill="1" applyBorder="1" applyAlignment="1">
      <alignment/>
    </xf>
    <xf numFmtId="0" fontId="0" fillId="0" borderId="6" xfId="0" applyFont="1" applyFill="1" applyBorder="1" applyAlignment="1">
      <alignment/>
    </xf>
    <xf numFmtId="0" fontId="2" fillId="0" borderId="44" xfId="0" applyFont="1" applyBorder="1" applyAlignment="1">
      <alignment/>
    </xf>
    <xf numFmtId="4" fontId="0" fillId="0" borderId="0" xfId="0" applyNumberFormat="1" applyBorder="1" applyAlignment="1">
      <alignment/>
    </xf>
    <xf numFmtId="0" fontId="0" fillId="0" borderId="9" xfId="0" applyFill="1" applyBorder="1" applyAlignment="1">
      <alignment/>
    </xf>
    <xf numFmtId="0" fontId="0" fillId="0" borderId="44" xfId="0" applyBorder="1" applyAlignment="1">
      <alignment/>
    </xf>
    <xf numFmtId="4" fontId="0" fillId="0" borderId="9" xfId="0" applyNumberFormat="1" applyFill="1" applyBorder="1" applyAlignment="1">
      <alignment/>
    </xf>
    <xf numFmtId="4" fontId="0" fillId="0" borderId="9" xfId="0" applyNumberFormat="1" applyBorder="1" applyAlignment="1">
      <alignment/>
    </xf>
    <xf numFmtId="0" fontId="0" fillId="0" borderId="40" xfId="0" applyBorder="1" applyAlignment="1">
      <alignment/>
    </xf>
    <xf numFmtId="4" fontId="0" fillId="0" borderId="7" xfId="0" applyNumberFormat="1" applyBorder="1" applyAlignment="1">
      <alignment/>
    </xf>
    <xf numFmtId="0" fontId="0" fillId="0" borderId="7" xfId="0" applyBorder="1" applyAlignment="1">
      <alignment/>
    </xf>
    <xf numFmtId="0" fontId="0" fillId="0" borderId="10" xfId="0" applyBorder="1" applyAlignment="1">
      <alignment/>
    </xf>
    <xf numFmtId="0" fontId="21" fillId="0" borderId="45" xfId="0" applyFont="1" applyFill="1" applyBorder="1" applyAlignment="1">
      <alignment/>
    </xf>
    <xf numFmtId="0" fontId="21" fillId="0" borderId="6" xfId="0" applyFont="1" applyFill="1" applyBorder="1" applyAlignment="1">
      <alignment/>
    </xf>
    <xf numFmtId="0" fontId="0" fillId="0" borderId="11" xfId="0" applyBorder="1" applyAlignment="1">
      <alignment/>
    </xf>
    <xf numFmtId="0" fontId="2" fillId="0" borderId="0" xfId="0" applyFont="1" applyBorder="1" applyAlignment="1">
      <alignment/>
    </xf>
    <xf numFmtId="0" fontId="0" fillId="0" borderId="44" xfId="0" applyFill="1" applyBorder="1" applyAlignment="1">
      <alignment/>
    </xf>
    <xf numFmtId="0" fontId="2" fillId="0" borderId="44" xfId="0" applyFont="1" applyFill="1" applyBorder="1" applyAlignment="1">
      <alignment/>
    </xf>
    <xf numFmtId="0" fontId="0" fillId="0" borderId="9" xfId="0" applyFont="1" applyFill="1" applyBorder="1" applyAlignment="1">
      <alignment horizontal="center"/>
    </xf>
    <xf numFmtId="0" fontId="0" fillId="0" borderId="44" xfId="0" applyFill="1" applyBorder="1" applyAlignment="1">
      <alignment horizontal="right"/>
    </xf>
    <xf numFmtId="0" fontId="2" fillId="0" borderId="40" xfId="0" applyFont="1" applyFill="1" applyBorder="1" applyAlignment="1">
      <alignment/>
    </xf>
    <xf numFmtId="0" fontId="0" fillId="0" borderId="7" xfId="0" applyFill="1" applyBorder="1" applyAlignment="1">
      <alignment/>
    </xf>
    <xf numFmtId="0" fontId="0" fillId="0" borderId="7" xfId="0" applyFont="1" applyFill="1" applyBorder="1" applyAlignment="1">
      <alignment/>
    </xf>
    <xf numFmtId="0" fontId="0" fillId="0" borderId="7" xfId="0" applyFont="1" applyFill="1" applyBorder="1" applyAlignment="1">
      <alignment horizontal="right"/>
    </xf>
    <xf numFmtId="2" fontId="0" fillId="0" borderId="10" xfId="0" applyNumberFormat="1" applyFont="1" applyFill="1" applyBorder="1" applyAlignment="1">
      <alignment horizontal="center"/>
    </xf>
    <xf numFmtId="0" fontId="2" fillId="0" borderId="45" xfId="0" applyFont="1" applyBorder="1" applyAlignment="1">
      <alignment/>
    </xf>
    <xf numFmtId="0" fontId="2" fillId="0" borderId="11" xfId="0" applyFont="1" applyFill="1" applyBorder="1" applyAlignment="1">
      <alignment horizontal="center"/>
    </xf>
    <xf numFmtId="0" fontId="0" fillId="0" borderId="0" xfId="0" applyAlignment="1">
      <alignment/>
    </xf>
    <xf numFmtId="0" fontId="18" fillId="0" borderId="0" xfId="0" applyFont="1" applyAlignment="1">
      <alignment horizontal="center"/>
    </xf>
    <xf numFmtId="0" fontId="12" fillId="0" borderId="0" xfId="0" applyFont="1" applyAlignment="1">
      <alignment horizontal="center"/>
    </xf>
    <xf numFmtId="0" fontId="12" fillId="3" borderId="0" xfId="0" applyFont="1" applyFill="1" applyBorder="1" applyAlignment="1">
      <alignment horizontal="center" vertical="center"/>
    </xf>
    <xf numFmtId="0" fontId="2" fillId="0" borderId="0" xfId="0" applyFont="1" applyBorder="1" applyAlignment="1">
      <alignment horizontal="center" vertical="center"/>
    </xf>
    <xf numFmtId="0" fontId="20" fillId="0" borderId="52" xfId="0" applyFont="1" applyBorder="1" applyAlignment="1">
      <alignment horizontal="center"/>
    </xf>
    <xf numFmtId="0" fontId="20" fillId="0" borderId="28" xfId="0" applyFont="1" applyBorder="1" applyAlignment="1">
      <alignment horizontal="center"/>
    </xf>
    <xf numFmtId="0" fontId="20" fillId="0" borderId="53" xfId="0" applyFont="1" applyBorder="1" applyAlignment="1">
      <alignment horizontal="center"/>
    </xf>
    <xf numFmtId="0" fontId="20" fillId="0" borderId="54" xfId="0" applyFont="1" applyBorder="1" applyAlignment="1">
      <alignment horizont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20" fillId="0" borderId="55" xfId="0" applyFont="1" applyBorder="1" applyAlignment="1">
      <alignment horizontal="center" vertical="center"/>
    </xf>
    <xf numFmtId="0" fontId="20" fillId="0" borderId="49" xfId="0" applyFont="1" applyBorder="1" applyAlignment="1">
      <alignment horizontal="center" vertical="center"/>
    </xf>
    <xf numFmtId="0" fontId="12" fillId="0" borderId="56" xfId="0" applyFont="1" applyBorder="1" applyAlignment="1">
      <alignment horizontal="center" vertical="center"/>
    </xf>
    <xf numFmtId="0" fontId="12" fillId="0" borderId="22" xfId="0" applyFont="1" applyBorder="1" applyAlignment="1">
      <alignment horizontal="center" vertical="center"/>
    </xf>
    <xf numFmtId="0" fontId="12" fillId="0" borderId="57" xfId="0" applyFont="1" applyBorder="1" applyAlignment="1">
      <alignment horizontal="center" vertical="center"/>
    </xf>
    <xf numFmtId="0" fontId="20" fillId="0" borderId="58" xfId="0" applyFont="1" applyBorder="1" applyAlignment="1">
      <alignment horizontal="center" vertical="center"/>
    </xf>
    <xf numFmtId="0" fontId="20" fillId="0" borderId="59"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xf>
    <xf numFmtId="0" fontId="20" fillId="0" borderId="62" xfId="0" applyFont="1" applyBorder="1" applyAlignment="1">
      <alignment horizontal="center"/>
    </xf>
    <xf numFmtId="0" fontId="20" fillId="0" borderId="63" xfId="0" applyFont="1" applyBorder="1" applyAlignment="1">
      <alignment horizontal="center"/>
    </xf>
    <xf numFmtId="0" fontId="2" fillId="0" borderId="51" xfId="0" applyFont="1" applyBorder="1" applyAlignment="1">
      <alignment horizontal="center"/>
    </xf>
    <xf numFmtId="0" fontId="2" fillId="0" borderId="49" xfId="0" applyFont="1" applyBorder="1" applyAlignment="1">
      <alignment horizontal="center"/>
    </xf>
    <xf numFmtId="0" fontId="19" fillId="0" borderId="64" xfId="0" applyFont="1" applyFill="1" applyBorder="1" applyAlignment="1">
      <alignment horizontal="center"/>
    </xf>
    <xf numFmtId="0" fontId="2" fillId="0" borderId="65" xfId="0" applyFont="1" applyFill="1" applyBorder="1" applyAlignment="1">
      <alignment horizontal="center"/>
    </xf>
    <xf numFmtId="0" fontId="2" fillId="0" borderId="66" xfId="0" applyFont="1" applyFill="1" applyBorder="1" applyAlignment="1">
      <alignment horizontal="center"/>
    </xf>
    <xf numFmtId="0" fontId="2" fillId="0" borderId="67" xfId="0" applyFont="1" applyBorder="1" applyAlignment="1">
      <alignment horizontal="center"/>
    </xf>
    <xf numFmtId="0" fontId="2" fillId="0" borderId="0" xfId="0" applyFont="1" applyBorder="1" applyAlignment="1">
      <alignment horizontal="center"/>
    </xf>
    <xf numFmtId="0" fontId="2" fillId="0" borderId="68" xfId="0" applyFont="1" applyBorder="1" applyAlignment="1">
      <alignment horizontal="center"/>
    </xf>
    <xf numFmtId="0" fontId="19" fillId="0" borderId="67" xfId="0" applyFont="1" applyFill="1" applyBorder="1" applyAlignment="1">
      <alignment horizontal="center"/>
    </xf>
    <xf numFmtId="0" fontId="2" fillId="0" borderId="0" xfId="0" applyFont="1" applyFill="1" applyBorder="1" applyAlignment="1">
      <alignment horizontal="center"/>
    </xf>
    <xf numFmtId="0" fontId="2" fillId="0" borderId="68" xfId="0" applyFont="1" applyFill="1" applyBorder="1" applyAlignment="1">
      <alignment horizontal="center"/>
    </xf>
    <xf numFmtId="0" fontId="2" fillId="0" borderId="67" xfId="0" applyFont="1" applyFill="1" applyBorder="1" applyAlignment="1">
      <alignment horizontal="center"/>
    </xf>
    <xf numFmtId="0" fontId="2" fillId="0" borderId="69" xfId="0" applyFont="1" applyFill="1" applyBorder="1" applyAlignment="1">
      <alignment horizontal="center"/>
    </xf>
    <xf numFmtId="0" fontId="2" fillId="0" borderId="70" xfId="0" applyFont="1" applyFill="1" applyBorder="1" applyAlignment="1">
      <alignment horizontal="center"/>
    </xf>
    <xf numFmtId="0" fontId="2" fillId="0" borderId="71" xfId="0" applyFont="1" applyFill="1" applyBorder="1" applyAlignment="1">
      <alignment horizontal="center"/>
    </xf>
    <xf numFmtId="0" fontId="8" fillId="0" borderId="72" xfId="0" applyFont="1" applyFill="1" applyBorder="1" applyAlignment="1">
      <alignment horizontal="center"/>
    </xf>
    <xf numFmtId="0" fontId="8" fillId="0" borderId="22" xfId="0" applyFont="1" applyFill="1" applyBorder="1" applyAlignment="1">
      <alignment horizontal="center"/>
    </xf>
    <xf numFmtId="0" fontId="8" fillId="0" borderId="73" xfId="0" applyFont="1" applyFill="1" applyBorder="1" applyAlignment="1">
      <alignment horizontal="center"/>
    </xf>
    <xf numFmtId="0" fontId="8" fillId="0" borderId="74" xfId="0" applyFont="1" applyBorder="1" applyAlignment="1">
      <alignment horizontal="center" vertical="center"/>
    </xf>
    <xf numFmtId="0" fontId="8" fillId="0" borderId="41"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Border="1" applyAlignment="1">
      <alignment/>
    </xf>
    <xf numFmtId="0" fontId="2" fillId="7" borderId="0" xfId="0" applyFont="1" applyFill="1" applyBorder="1" applyAlignment="1">
      <alignment horizontal="left" vertical="center"/>
    </xf>
    <xf numFmtId="0" fontId="8" fillId="5" borderId="75"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9" fillId="10" borderId="20" xfId="0" applyFont="1" applyFill="1" applyBorder="1" applyAlignment="1" applyProtection="1">
      <alignment horizontal="center"/>
      <protection locked="0"/>
    </xf>
    <xf numFmtId="0" fontId="29" fillId="10" borderId="62" xfId="0" applyFont="1" applyFill="1" applyBorder="1" applyAlignment="1" applyProtection="1">
      <alignment horizontal="center"/>
      <protection locked="0"/>
    </xf>
    <xf numFmtId="0" fontId="29" fillId="0" borderId="63" xfId="0" applyFont="1" applyBorder="1" applyAlignment="1" applyProtection="1">
      <alignment horizontal="center"/>
      <protection locked="0"/>
    </xf>
    <xf numFmtId="0" fontId="4" fillId="8" borderId="20" xfId="0" applyFont="1" applyFill="1" applyBorder="1" applyAlignment="1" applyProtection="1">
      <alignment vertical="center"/>
      <protection locked="0"/>
    </xf>
    <xf numFmtId="0" fontId="0" fillId="0" borderId="63" xfId="0" applyBorder="1" applyAlignment="1" applyProtection="1">
      <alignment vertical="center"/>
      <protection locked="0"/>
    </xf>
    <xf numFmtId="0" fontId="4" fillId="8" borderId="20" xfId="0" applyFont="1" applyFill="1" applyBorder="1" applyAlignment="1" applyProtection="1">
      <alignment horizontal="center"/>
      <protection locked="0"/>
    </xf>
    <xf numFmtId="0" fontId="0" fillId="0" borderId="63" xfId="0" applyBorder="1" applyAlignment="1" applyProtection="1">
      <alignment/>
      <protection locked="0"/>
    </xf>
    <xf numFmtId="0" fontId="12" fillId="3" borderId="0" xfId="0" applyFont="1" applyFill="1" applyBorder="1" applyAlignment="1">
      <alignment horizontal="left" vertical="center" wrapText="1"/>
    </xf>
    <xf numFmtId="0" fontId="0" fillId="0" borderId="2" xfId="0" applyBorder="1" applyAlignment="1">
      <alignment horizontal="left"/>
    </xf>
    <xf numFmtId="0" fontId="12" fillId="3" borderId="1" xfId="0" applyFont="1" applyFill="1" applyBorder="1" applyAlignment="1">
      <alignment horizontal="left" vertical="center" wrapText="1"/>
    </xf>
    <xf numFmtId="0" fontId="0" fillId="0" borderId="0" xfId="0" applyBorder="1" applyAlignment="1">
      <alignment horizontal="left"/>
    </xf>
    <xf numFmtId="0" fontId="6" fillId="5" borderId="58" xfId="0" applyFont="1" applyFill="1" applyBorder="1" applyAlignment="1">
      <alignment horizontal="center"/>
    </xf>
    <xf numFmtId="0" fontId="0" fillId="2" borderId="59" xfId="0" applyFont="1" applyFill="1" applyBorder="1" applyAlignment="1">
      <alignment/>
    </xf>
    <xf numFmtId="0" fontId="0" fillId="2" borderId="60" xfId="0" applyFill="1" applyBorder="1" applyAlignment="1">
      <alignment/>
    </xf>
    <xf numFmtId="0" fontId="6" fillId="7" borderId="59" xfId="0" applyFont="1" applyFill="1" applyBorder="1" applyAlignment="1">
      <alignment horizontal="center"/>
    </xf>
    <xf numFmtId="0" fontId="6" fillId="9" borderId="59" xfId="0" applyFont="1" applyFill="1" applyBorder="1" applyAlignment="1">
      <alignment horizontal="center"/>
    </xf>
    <xf numFmtId="0" fontId="6" fillId="9" borderId="76" xfId="0" applyFont="1" applyFill="1" applyBorder="1" applyAlignment="1">
      <alignment horizontal="center"/>
    </xf>
    <xf numFmtId="0" fontId="2" fillId="5" borderId="1" xfId="0" applyFont="1" applyFill="1" applyBorder="1" applyAlignment="1">
      <alignment horizontal="left" vertical="center"/>
    </xf>
    <xf numFmtId="0" fontId="2" fillId="5" borderId="0" xfId="0" applyFont="1" applyFill="1" applyBorder="1" applyAlignment="1">
      <alignment horizontal="left" vertical="center"/>
    </xf>
    <xf numFmtId="0" fontId="14" fillId="3" borderId="15" xfId="0" applyFont="1" applyFill="1" applyBorder="1" applyAlignment="1">
      <alignment horizontal="center" vertical="center"/>
    </xf>
    <xf numFmtId="0" fontId="0" fillId="0" borderId="15" xfId="0" applyBorder="1" applyAlignment="1">
      <alignment horizontal="center" vertical="center"/>
    </xf>
    <xf numFmtId="0" fontId="19" fillId="3" borderId="1" xfId="0" applyFont="1" applyFill="1" applyBorder="1" applyAlignment="1">
      <alignment horizontal="left" vertical="center" wrapText="1"/>
    </xf>
    <xf numFmtId="10" fontId="19" fillId="4" borderId="0" xfId="0" applyNumberFormat="1" applyFont="1" applyFill="1" applyBorder="1" applyAlignment="1">
      <alignment horizontal="center"/>
    </xf>
    <xf numFmtId="0" fontId="19" fillId="4" borderId="0" xfId="0" applyFont="1" applyFill="1" applyBorder="1" applyAlignment="1">
      <alignment horizontal="center"/>
    </xf>
    <xf numFmtId="0" fontId="0" fillId="0" borderId="0" xfId="0" applyAlignment="1">
      <alignment horizontal="center"/>
    </xf>
    <xf numFmtId="0" fontId="2" fillId="4" borderId="0" xfId="0" applyNumberFormat="1" applyFont="1" applyFill="1" applyBorder="1" applyAlignment="1" applyProtection="1">
      <alignment/>
      <protection/>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xf numFmtId="4" fontId="4" fillId="8" borderId="20" xfId="0" applyNumberFormat="1" applyFont="1" applyFill="1" applyBorder="1" applyAlignment="1" applyProtection="1">
      <alignment horizontal="left"/>
      <protection/>
    </xf>
    <xf numFmtId="4" fontId="4" fillId="8" borderId="63" xfId="0" applyNumberFormat="1" applyFont="1" applyFill="1" applyBorder="1" applyAlignment="1" applyProtection="1">
      <alignment horizontal="left"/>
      <protection/>
    </xf>
  </cellXfs>
  <cellStyles count="9">
    <cellStyle name="Normal" xfId="0"/>
    <cellStyle name="Followed Hyperlink" xfId="15"/>
    <cellStyle name="Comma" xfId="16"/>
    <cellStyle name="Comma [0]" xfId="17"/>
    <cellStyle name="Hyperlink" xfId="18"/>
    <cellStyle name="Neutral" xfId="19"/>
    <cellStyle name="Percent" xfId="20"/>
    <cellStyle name="Currency" xfId="21"/>
    <cellStyle name="Currency [0]" xfId="22"/>
  </cellStyles>
  <dxfs count="2">
    <dxf>
      <font>
        <b val="0"/>
        <i val="0"/>
        <color rgb="FFFF0000"/>
      </font>
      <border/>
    </dxf>
    <dxf>
      <font>
        <b/>
        <i val="0"/>
        <strike val="0"/>
        <color rgb="FFFFFF00"/>
      </font>
      <fill>
        <patternFill>
          <bgColor rgb="FF0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8325"/>
          <c:h val="0.702"/>
        </c:manualLayout>
      </c:layout>
      <c:barChart>
        <c:barDir val="bar"/>
        <c:grouping val="percentStacked"/>
        <c:varyColors val="0"/>
        <c:ser>
          <c:idx val="0"/>
          <c:order val="0"/>
          <c:tx>
            <c:strRef>
              <c:f>Gesamtenergiebilanz!$B$12</c:f>
              <c:strCache>
                <c:ptCount val="1"/>
                <c:pt idx="0">
                  <c:v>WÄRME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Gesamtenergiebilanz!$D$46</c:f>
              <c:numCache/>
            </c:numRef>
          </c:val>
        </c:ser>
        <c:ser>
          <c:idx val="1"/>
          <c:order val="1"/>
          <c:tx>
            <c:strRef>
              <c:f>Gesamtenergiebilanz!$J$12</c:f>
              <c:strCache>
                <c:ptCount val="1"/>
                <c:pt idx="0">
                  <c:v>STROM</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Gesamtenergiebilanz!$L$46</c:f>
              <c:numCache/>
            </c:numRef>
          </c:val>
        </c:ser>
        <c:overlap val="100"/>
        <c:axId val="55349557"/>
        <c:axId val="28383966"/>
      </c:barChart>
      <c:catAx>
        <c:axId val="55349557"/>
        <c:scaling>
          <c:orientation val="minMax"/>
        </c:scaling>
        <c:axPos val="l"/>
        <c:delete val="1"/>
        <c:majorTickMark val="out"/>
        <c:minorTickMark val="none"/>
        <c:tickLblPos val="nextTo"/>
        <c:crossAx val="28383966"/>
        <c:crosses val="autoZero"/>
        <c:auto val="1"/>
        <c:lblOffset val="100"/>
        <c:noMultiLvlLbl val="0"/>
      </c:catAx>
      <c:valAx>
        <c:axId val="28383966"/>
        <c:scaling>
          <c:orientation val="minMax"/>
        </c:scaling>
        <c:axPos val="b"/>
        <c:delete val="1"/>
        <c:majorTickMark val="out"/>
        <c:minorTickMark val="none"/>
        <c:tickLblPos val="nextTo"/>
        <c:txPr>
          <a:bodyPr/>
          <a:lstStyle/>
          <a:p>
            <a:pPr>
              <a:defRPr lang="en-US" cap="none" sz="325" b="0" i="0" u="none" baseline="0">
                <a:latin typeface="Arial"/>
                <a:ea typeface="Arial"/>
                <a:cs typeface="Arial"/>
              </a:defRPr>
            </a:pPr>
          </a:p>
        </c:txPr>
        <c:crossAx val="55349557"/>
        <c:crossesAt val="1"/>
        <c:crossBetween val="between"/>
        <c:dispUnits/>
      </c:valAx>
      <c:spPr>
        <a:noFill/>
        <a:ln>
          <a:noFill/>
        </a:ln>
      </c:spPr>
    </c:plotArea>
    <c:plotVisOnly val="1"/>
    <c:dispBlanksAs val="gap"/>
    <c:showDLblsOverMax val="0"/>
  </c:chart>
  <c:spPr>
    <a:solidFill>
      <a:srgbClr val="C0C0C0"/>
    </a:solidFill>
    <a:ln w="3175">
      <a:noFill/>
    </a:ln>
  </c:spPr>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25"/>
          <c:w val="0.98425"/>
          <c:h val="0.70325"/>
        </c:manualLayout>
      </c:layout>
      <c:barChart>
        <c:barDir val="bar"/>
        <c:grouping val="percentStacked"/>
        <c:varyColors val="0"/>
        <c:ser>
          <c:idx val="0"/>
          <c:order val="0"/>
          <c:tx>
            <c:strRef>
              <c:f>Gesamtenergiebilanz!$B$12</c:f>
              <c:strCache>
                <c:ptCount val="1"/>
                <c:pt idx="0">
                  <c:v>WÄRME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Gesamtenergiebilanz!$D$49</c:f>
              <c:numCache/>
            </c:numRef>
          </c:val>
        </c:ser>
        <c:ser>
          <c:idx val="1"/>
          <c:order val="1"/>
          <c:tx>
            <c:strRef>
              <c:f>Gesamtenergiebilanz!$J$12</c:f>
              <c:strCache>
                <c:ptCount val="1"/>
                <c:pt idx="0">
                  <c:v>STROM</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val>
            <c:numRef>
              <c:f>Gesamtenergiebilanz!$L$49</c:f>
              <c:numCache/>
            </c:numRef>
          </c:val>
        </c:ser>
        <c:overlap val="100"/>
        <c:axId val="54129103"/>
        <c:axId val="17399880"/>
      </c:barChart>
      <c:catAx>
        <c:axId val="54129103"/>
        <c:scaling>
          <c:orientation val="minMax"/>
        </c:scaling>
        <c:axPos val="l"/>
        <c:delete val="1"/>
        <c:majorTickMark val="out"/>
        <c:minorTickMark val="none"/>
        <c:tickLblPos val="nextTo"/>
        <c:crossAx val="17399880"/>
        <c:crosses val="autoZero"/>
        <c:auto val="1"/>
        <c:lblOffset val="100"/>
        <c:noMultiLvlLbl val="0"/>
      </c:catAx>
      <c:valAx>
        <c:axId val="17399880"/>
        <c:scaling>
          <c:orientation val="minMax"/>
        </c:scaling>
        <c:axPos val="b"/>
        <c:delete val="1"/>
        <c:majorTickMark val="out"/>
        <c:minorTickMark val="none"/>
        <c:tickLblPos val="nextTo"/>
        <c:txPr>
          <a:bodyPr/>
          <a:lstStyle/>
          <a:p>
            <a:pPr>
              <a:defRPr lang="en-US" cap="none" sz="325" b="0" i="0" u="none" baseline="0">
                <a:latin typeface="Arial"/>
                <a:ea typeface="Arial"/>
                <a:cs typeface="Arial"/>
              </a:defRPr>
            </a:pPr>
          </a:p>
        </c:txPr>
        <c:crossAx val="54129103"/>
        <c:crossesAt val="1"/>
        <c:crossBetween val="between"/>
        <c:dispUnits/>
      </c:valAx>
      <c:spPr>
        <a:noFill/>
        <a:ln>
          <a:noFill/>
        </a:ln>
      </c:spPr>
    </c:plotArea>
    <c:plotVisOnly val="1"/>
    <c:dispBlanksAs val="gap"/>
    <c:showDLblsOverMax val="0"/>
  </c:chart>
  <c:spPr>
    <a:solidFill>
      <a:srgbClr val="C0C0C0"/>
    </a:solidFill>
    <a:ln w="3175">
      <a:noFill/>
    </a:ln>
  </c:spPr>
  <c:txPr>
    <a:bodyPr vert="horz" rot="0"/>
    <a:lstStyle/>
    <a:p>
      <a:pPr>
        <a:defRPr lang="en-US" cap="none" sz="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chart" Target="/xl/charts/chart2.xml" /><Relationship Id="rId5"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51</xdr:row>
      <xdr:rowOff>28575</xdr:rowOff>
    </xdr:from>
    <xdr:to>
      <xdr:col>15</xdr:col>
      <xdr:colOff>133350</xdr:colOff>
      <xdr:row>53</xdr:row>
      <xdr:rowOff>85725</xdr:rowOff>
    </xdr:to>
    <xdr:graphicFrame>
      <xdr:nvGraphicFramePr>
        <xdr:cNvPr id="1" name="Chart 92"/>
        <xdr:cNvGraphicFramePr/>
      </xdr:nvGraphicFramePr>
      <xdr:xfrm>
        <a:off x="7400925" y="10182225"/>
        <a:ext cx="6819900" cy="495300"/>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704850</xdr:colOff>
      <xdr:row>40</xdr:row>
      <xdr:rowOff>0</xdr:rowOff>
    </xdr:from>
    <xdr:to>
      <xdr:col>3</xdr:col>
      <xdr:colOff>66675</xdr:colOff>
      <xdr:row>43</xdr:row>
      <xdr:rowOff>9525</xdr:rowOff>
    </xdr:to>
    <xdr:pic>
      <xdr:nvPicPr>
        <xdr:cNvPr id="2" name="Picture 32"/>
        <xdr:cNvPicPr preferRelativeResize="1">
          <a:picLocks noChangeAspect="1"/>
        </xdr:cNvPicPr>
      </xdr:nvPicPr>
      <xdr:blipFill>
        <a:blip r:embed="rId2"/>
        <a:stretch>
          <a:fillRect/>
        </a:stretch>
      </xdr:blipFill>
      <xdr:spPr>
        <a:xfrm>
          <a:off x="2809875" y="8162925"/>
          <a:ext cx="962025" cy="581025"/>
        </a:xfrm>
        <a:prstGeom prst="rect">
          <a:avLst/>
        </a:prstGeom>
        <a:noFill/>
        <a:ln w="9525" cmpd="sng">
          <a:noFill/>
        </a:ln>
      </xdr:spPr>
    </xdr:pic>
    <xdr:clientData/>
  </xdr:twoCellAnchor>
  <xdr:twoCellAnchor>
    <xdr:from>
      <xdr:col>2</xdr:col>
      <xdr:colOff>866775</xdr:colOff>
      <xdr:row>40</xdr:row>
      <xdr:rowOff>57150</xdr:rowOff>
    </xdr:from>
    <xdr:to>
      <xdr:col>3</xdr:col>
      <xdr:colOff>285750</xdr:colOff>
      <xdr:row>43</xdr:row>
      <xdr:rowOff>123825</xdr:rowOff>
    </xdr:to>
    <xdr:sp>
      <xdr:nvSpPr>
        <xdr:cNvPr id="3" name="Rectangle 42"/>
        <xdr:cNvSpPr>
          <a:spLocks/>
        </xdr:cNvSpPr>
      </xdr:nvSpPr>
      <xdr:spPr>
        <a:xfrm>
          <a:off x="2971800" y="8220075"/>
          <a:ext cx="1019175" cy="638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238125</xdr:colOff>
      <xdr:row>37</xdr:row>
      <xdr:rowOff>123825</xdr:rowOff>
    </xdr:from>
    <xdr:to>
      <xdr:col>15</xdr:col>
      <xdr:colOff>752475</xdr:colOff>
      <xdr:row>43</xdr:row>
      <xdr:rowOff>76200</xdr:rowOff>
    </xdr:to>
    <xdr:pic>
      <xdr:nvPicPr>
        <xdr:cNvPr id="4" name="Picture 55"/>
        <xdr:cNvPicPr preferRelativeResize="1">
          <a:picLocks noChangeAspect="1"/>
        </xdr:cNvPicPr>
      </xdr:nvPicPr>
      <xdr:blipFill>
        <a:blip r:embed="rId3"/>
        <a:stretch>
          <a:fillRect/>
        </a:stretch>
      </xdr:blipFill>
      <xdr:spPr>
        <a:xfrm>
          <a:off x="13544550" y="7715250"/>
          <a:ext cx="1295400" cy="1095375"/>
        </a:xfrm>
        <a:prstGeom prst="rect">
          <a:avLst/>
        </a:prstGeom>
        <a:noFill/>
        <a:ln w="9525" cmpd="sng">
          <a:noFill/>
        </a:ln>
      </xdr:spPr>
    </xdr:pic>
    <xdr:clientData/>
  </xdr:twoCellAnchor>
  <xdr:twoCellAnchor>
    <xdr:from>
      <xdr:col>1</xdr:col>
      <xdr:colOff>0</xdr:colOff>
      <xdr:row>3</xdr:row>
      <xdr:rowOff>0</xdr:rowOff>
    </xdr:from>
    <xdr:to>
      <xdr:col>1</xdr:col>
      <xdr:colOff>0</xdr:colOff>
      <xdr:row>5</xdr:row>
      <xdr:rowOff>0</xdr:rowOff>
    </xdr:to>
    <xdr:sp>
      <xdr:nvSpPr>
        <xdr:cNvPr id="5" name="Line 77"/>
        <xdr:cNvSpPr>
          <a:spLocks/>
        </xdr:cNvSpPr>
      </xdr:nvSpPr>
      <xdr:spPr>
        <a:xfrm>
          <a:off x="762000" y="885825"/>
          <a:ext cx="0" cy="39052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18</xdr:col>
      <xdr:colOff>295275</xdr:colOff>
      <xdr:row>6</xdr:row>
      <xdr:rowOff>47625</xdr:rowOff>
    </xdr:to>
    <xdr:grpSp>
      <xdr:nvGrpSpPr>
        <xdr:cNvPr id="6" name="Group 87"/>
        <xdr:cNvGrpSpPr>
          <a:grpSpLocks/>
        </xdr:cNvGrpSpPr>
      </xdr:nvGrpSpPr>
      <xdr:grpSpPr>
        <a:xfrm>
          <a:off x="0" y="809625"/>
          <a:ext cx="16116300" cy="704850"/>
          <a:chOff x="0" y="82"/>
          <a:chExt cx="1022" cy="61"/>
        </a:xfrm>
        <a:solidFill>
          <a:srgbClr val="FFFFFF"/>
        </a:solidFill>
      </xdr:grpSpPr>
      <xdr:sp>
        <xdr:nvSpPr>
          <xdr:cNvPr id="7" name="AutoShape 69"/>
          <xdr:cNvSpPr>
            <a:spLocks/>
          </xdr:cNvSpPr>
        </xdr:nvSpPr>
        <xdr:spPr>
          <a:xfrm>
            <a:off x="81" y="87"/>
            <a:ext cx="862" cy="51"/>
          </a:xfrm>
          <a:prstGeom prst="rtTriangle">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8" name="TextBox 70"/>
          <xdr:cNvSpPr txBox="1">
            <a:spLocks noChangeArrowheads="1"/>
          </xdr:cNvSpPr>
        </xdr:nvSpPr>
        <xdr:spPr>
          <a:xfrm>
            <a:off x="81" y="119"/>
            <a:ext cx="303" cy="19"/>
          </a:xfrm>
          <a:prstGeom prst="rect">
            <a:avLst/>
          </a:prstGeom>
          <a:solidFill>
            <a:srgbClr val="C0C0C0"/>
          </a:solidFill>
          <a:ln w="9525" cmpd="sng">
            <a:noFill/>
          </a:ln>
        </xdr:spPr>
        <xdr:txBody>
          <a:bodyPr vertOverflow="clip" wrap="square"/>
          <a:p>
            <a:pPr algn="l">
              <a:defRPr/>
            </a:pPr>
            <a:r>
              <a:rPr lang="en-US" cap="none" sz="1000" b="1" i="0" u="none" baseline="0">
                <a:latin typeface="Arial"/>
                <a:ea typeface="Arial"/>
                <a:cs typeface="Arial"/>
              </a:rPr>
              <a:t>Allgemeine Angaben zum Objekt:</a:t>
            </a:r>
          </a:p>
        </xdr:txBody>
      </xdr:sp>
      <xdr:sp>
        <xdr:nvSpPr>
          <xdr:cNvPr id="9" name="Line 76"/>
          <xdr:cNvSpPr>
            <a:spLocks/>
          </xdr:cNvSpPr>
        </xdr:nvSpPr>
        <xdr:spPr>
          <a:xfrm flipH="1" flipV="1">
            <a:off x="0" y="82"/>
            <a:ext cx="1022" cy="61"/>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AutoShape 85"/>
          <xdr:cNvSpPr>
            <a:spLocks/>
          </xdr:cNvSpPr>
        </xdr:nvSpPr>
        <xdr:spPr>
          <a:xfrm rot="10800000">
            <a:off x="81" y="86"/>
            <a:ext cx="862" cy="51"/>
          </a:xfrm>
          <a:prstGeom prst="r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7</xdr:col>
      <xdr:colOff>76200</xdr:colOff>
      <xdr:row>53</xdr:row>
      <xdr:rowOff>9525</xdr:rowOff>
    </xdr:from>
    <xdr:to>
      <xdr:col>15</xdr:col>
      <xdr:colOff>142875</xdr:colOff>
      <xdr:row>56</xdr:row>
      <xdr:rowOff>38100</xdr:rowOff>
    </xdr:to>
    <xdr:graphicFrame>
      <xdr:nvGraphicFramePr>
        <xdr:cNvPr id="11" name="Chart 94"/>
        <xdr:cNvGraphicFramePr/>
      </xdr:nvGraphicFramePr>
      <xdr:xfrm>
        <a:off x="7400925" y="10601325"/>
        <a:ext cx="6829425" cy="714375"/>
      </xdr:xfrm>
      <a:graphic>
        <a:graphicData uri="http://schemas.openxmlformats.org/drawingml/2006/chart">
          <c:chart xmlns:c="http://schemas.openxmlformats.org/drawingml/2006/chart" r:id="rId4"/>
        </a:graphicData>
      </a:graphic>
    </xdr:graphicFrame>
    <xdr:clientData/>
  </xdr:twoCellAnchor>
  <xdr:twoCellAnchor>
    <xdr:from>
      <xdr:col>9</xdr:col>
      <xdr:colOff>85725</xdr:colOff>
      <xdr:row>7</xdr:row>
      <xdr:rowOff>104775</xdr:rowOff>
    </xdr:from>
    <xdr:to>
      <xdr:col>15</xdr:col>
      <xdr:colOff>790575</xdr:colOff>
      <xdr:row>9</xdr:row>
      <xdr:rowOff>85725</xdr:rowOff>
    </xdr:to>
    <xdr:sp>
      <xdr:nvSpPr>
        <xdr:cNvPr id="12" name="AutoShape 122"/>
        <xdr:cNvSpPr>
          <a:spLocks/>
        </xdr:cNvSpPr>
      </xdr:nvSpPr>
      <xdr:spPr>
        <a:xfrm>
          <a:off x="8534400" y="1743075"/>
          <a:ext cx="6343650" cy="409575"/>
        </a:xfrm>
        <a:prstGeom prst="rect"/>
        <a:noFill/>
      </xdr:spPr>
      <xdr:txBody>
        <a:bodyPr fromWordArt="1" wrap="none">
          <a:prstTxWarp prst="textPlain"/>
        </a:bodyPr>
        <a:p>
          <a:pPr algn="ctr"/>
          <a:r>
            <a:rPr sz="3600" kern="10" spc="0">
              <a:ln w="6350" cmpd="sng">
                <a:noFill/>
              </a:ln>
              <a:solidFill>
                <a:srgbClr val="FFFFFF"/>
              </a:solidFill>
              <a:latin typeface="Arial Black"/>
              <a:cs typeface="Arial Black"/>
            </a:rPr>
            <a:t>Solarbilanz</a:t>
          </a:r>
        </a:p>
      </xdr:txBody>
    </xdr:sp>
    <xdr:clientData/>
  </xdr:twoCellAnchor>
  <xdr:twoCellAnchor>
    <xdr:from>
      <xdr:col>13</xdr:col>
      <xdr:colOff>685800</xdr:colOff>
      <xdr:row>0</xdr:row>
      <xdr:rowOff>180975</xdr:rowOff>
    </xdr:from>
    <xdr:to>
      <xdr:col>17</xdr:col>
      <xdr:colOff>333375</xdr:colOff>
      <xdr:row>5</xdr:row>
      <xdr:rowOff>38100</xdr:rowOff>
    </xdr:to>
    <xdr:pic>
      <xdr:nvPicPr>
        <xdr:cNvPr id="13" name="Picture 124"/>
        <xdr:cNvPicPr preferRelativeResize="1">
          <a:picLocks noChangeAspect="1"/>
        </xdr:cNvPicPr>
      </xdr:nvPicPr>
      <xdr:blipFill>
        <a:blip r:embed="rId5"/>
        <a:stretch>
          <a:fillRect/>
        </a:stretch>
      </xdr:blipFill>
      <xdr:spPr>
        <a:xfrm>
          <a:off x="13211175" y="180975"/>
          <a:ext cx="2181225"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xdr:col>
      <xdr:colOff>0</xdr:colOff>
      <xdr:row>5</xdr:row>
      <xdr:rowOff>0</xdr:rowOff>
    </xdr:to>
    <xdr:sp>
      <xdr:nvSpPr>
        <xdr:cNvPr id="1" name="Line 5"/>
        <xdr:cNvSpPr>
          <a:spLocks/>
        </xdr:cNvSpPr>
      </xdr:nvSpPr>
      <xdr:spPr>
        <a:xfrm>
          <a:off x="762000" y="866775"/>
          <a:ext cx="0" cy="3810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xdr:row>
      <xdr:rowOff>114300</xdr:rowOff>
    </xdr:from>
    <xdr:to>
      <xdr:col>12</xdr:col>
      <xdr:colOff>295275</xdr:colOff>
      <xdr:row>6</xdr:row>
      <xdr:rowOff>47625</xdr:rowOff>
    </xdr:to>
    <xdr:grpSp>
      <xdr:nvGrpSpPr>
        <xdr:cNvPr id="2" name="Group 6"/>
        <xdr:cNvGrpSpPr>
          <a:grpSpLocks/>
        </xdr:cNvGrpSpPr>
      </xdr:nvGrpSpPr>
      <xdr:grpSpPr>
        <a:xfrm>
          <a:off x="0" y="790575"/>
          <a:ext cx="14792325" cy="695325"/>
          <a:chOff x="0" y="82"/>
          <a:chExt cx="1022" cy="61"/>
        </a:xfrm>
        <a:solidFill>
          <a:srgbClr val="FFFFFF"/>
        </a:solidFill>
      </xdr:grpSpPr>
      <xdr:sp>
        <xdr:nvSpPr>
          <xdr:cNvPr id="3" name="AutoShape 7"/>
          <xdr:cNvSpPr>
            <a:spLocks/>
          </xdr:cNvSpPr>
        </xdr:nvSpPr>
        <xdr:spPr>
          <a:xfrm>
            <a:off x="81" y="87"/>
            <a:ext cx="862" cy="51"/>
          </a:xfrm>
          <a:prstGeom prst="rtTriangle">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TextBox 8"/>
          <xdr:cNvSpPr txBox="1">
            <a:spLocks noChangeArrowheads="1"/>
          </xdr:cNvSpPr>
        </xdr:nvSpPr>
        <xdr:spPr>
          <a:xfrm>
            <a:off x="81" y="119"/>
            <a:ext cx="303" cy="19"/>
          </a:xfrm>
          <a:prstGeom prst="rect">
            <a:avLst/>
          </a:prstGeom>
          <a:solidFill>
            <a:srgbClr val="C0C0C0"/>
          </a:solidFill>
          <a:ln w="9525" cmpd="sng">
            <a:noFill/>
          </a:ln>
        </xdr:spPr>
        <xdr:txBody>
          <a:bodyPr vertOverflow="clip" wrap="square"/>
          <a:p>
            <a:pPr algn="l">
              <a:defRPr/>
            </a:pPr>
            <a:r>
              <a:rPr lang="en-US" cap="none" sz="1000" b="1" i="0" u="none" baseline="0">
                <a:latin typeface="Arial"/>
                <a:ea typeface="Arial"/>
                <a:cs typeface="Arial"/>
              </a:rPr>
              <a:t>Allgemeine Angaben zum Objekt:</a:t>
            </a:r>
          </a:p>
        </xdr:txBody>
      </xdr:sp>
      <xdr:sp>
        <xdr:nvSpPr>
          <xdr:cNvPr id="5" name="Line 9"/>
          <xdr:cNvSpPr>
            <a:spLocks/>
          </xdr:cNvSpPr>
        </xdr:nvSpPr>
        <xdr:spPr>
          <a:xfrm flipH="1" flipV="1">
            <a:off x="0" y="82"/>
            <a:ext cx="1022" cy="61"/>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AutoShape 10"/>
          <xdr:cNvSpPr>
            <a:spLocks/>
          </xdr:cNvSpPr>
        </xdr:nvSpPr>
        <xdr:spPr>
          <a:xfrm rot="10800000">
            <a:off x="81" y="86"/>
            <a:ext cx="862" cy="51"/>
          </a:xfrm>
          <a:prstGeom prst="rtTriangl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85725</xdr:colOff>
      <xdr:row>7</xdr:row>
      <xdr:rowOff>104775</xdr:rowOff>
    </xdr:from>
    <xdr:to>
      <xdr:col>9</xdr:col>
      <xdr:colOff>990600</xdr:colOff>
      <xdr:row>9</xdr:row>
      <xdr:rowOff>85725</xdr:rowOff>
    </xdr:to>
    <xdr:sp>
      <xdr:nvSpPr>
        <xdr:cNvPr id="7" name="AutoShape 12"/>
        <xdr:cNvSpPr>
          <a:spLocks/>
        </xdr:cNvSpPr>
      </xdr:nvSpPr>
      <xdr:spPr>
        <a:xfrm>
          <a:off x="7439025" y="1704975"/>
          <a:ext cx="5762625" cy="400050"/>
        </a:xfrm>
        <a:prstGeom prst="rect"/>
        <a:noFill/>
      </xdr:spPr>
      <xdr:txBody>
        <a:bodyPr fromWordArt="1" wrap="none">
          <a:prstTxWarp prst="textPlain"/>
        </a:bodyPr>
        <a:p>
          <a:pPr algn="ctr"/>
          <a:r>
            <a:rPr sz="3600" kern="10" spc="0">
              <a:ln w="6350" cmpd="sng">
                <a:noFill/>
              </a:ln>
              <a:solidFill>
                <a:srgbClr val="FFFFFF"/>
              </a:solidFill>
              <a:latin typeface="Arial Black"/>
              <a:cs typeface="Arial Black"/>
            </a:rPr>
            <a:t>Kostenbilanz</a:t>
          </a:r>
        </a:p>
      </xdr:txBody>
    </xdr:sp>
    <xdr:clientData/>
  </xdr:twoCellAnchor>
  <xdr:twoCellAnchor>
    <xdr:from>
      <xdr:col>8</xdr:col>
      <xdr:colOff>523875</xdr:colOff>
      <xdr:row>0</xdr:row>
      <xdr:rowOff>104775</xdr:rowOff>
    </xdr:from>
    <xdr:to>
      <xdr:col>12</xdr:col>
      <xdr:colOff>161925</xdr:colOff>
      <xdr:row>4</xdr:row>
      <xdr:rowOff>180975</xdr:rowOff>
    </xdr:to>
    <xdr:pic>
      <xdr:nvPicPr>
        <xdr:cNvPr id="8" name="Picture 13"/>
        <xdr:cNvPicPr preferRelativeResize="1">
          <a:picLocks noChangeAspect="1"/>
        </xdr:cNvPicPr>
      </xdr:nvPicPr>
      <xdr:blipFill>
        <a:blip r:embed="rId1"/>
        <a:stretch>
          <a:fillRect/>
        </a:stretch>
      </xdr:blipFill>
      <xdr:spPr>
        <a:xfrm>
          <a:off x="11582400" y="104775"/>
          <a:ext cx="30765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5"/>
  <sheetViews>
    <sheetView workbookViewId="0" topLeftCell="A1">
      <selection activeCell="Y47" sqref="Y47"/>
    </sheetView>
  </sheetViews>
  <sheetFormatPr defaultColWidth="11.421875" defaultRowHeight="12.75"/>
  <cols>
    <col min="1" max="1" width="21.140625" style="0" customWidth="1"/>
    <col min="2" max="2" width="19.00390625" style="0" bestFit="1" customWidth="1"/>
    <col min="3" max="3" width="13.28125" style="0" bestFit="1" customWidth="1"/>
  </cols>
  <sheetData>
    <row r="1" ht="15.75">
      <c r="A1" s="299" t="s">
        <v>258</v>
      </c>
    </row>
    <row r="3" ht="12.75">
      <c r="A3" s="1" t="s">
        <v>273</v>
      </c>
    </row>
    <row r="4" spans="1:6" ht="12.75">
      <c r="A4" s="351" t="s">
        <v>272</v>
      </c>
      <c r="B4" s="351"/>
      <c r="C4" s="351"/>
      <c r="D4" s="351"/>
      <c r="E4" s="351"/>
      <c r="F4" s="351"/>
    </row>
    <row r="5" spans="1:14" ht="12.75">
      <c r="A5" s="351" t="s">
        <v>271</v>
      </c>
      <c r="B5" s="351"/>
      <c r="C5" s="351"/>
      <c r="D5" s="351"/>
      <c r="E5" s="351"/>
      <c r="F5" s="351"/>
      <c r="G5" s="351"/>
      <c r="H5" s="351"/>
      <c r="I5" s="351"/>
      <c r="J5" s="351"/>
      <c r="K5" s="351"/>
      <c r="L5" s="351"/>
      <c r="M5" s="351"/>
      <c r="N5" s="351"/>
    </row>
    <row r="6" spans="1:2" ht="12.75">
      <c r="A6" s="351" t="s">
        <v>266</v>
      </c>
      <c r="B6" s="351"/>
    </row>
    <row r="7" spans="1:3" ht="12.75">
      <c r="A7" t="s">
        <v>267</v>
      </c>
      <c r="B7">
        <v>40</v>
      </c>
      <c r="C7" t="s">
        <v>268</v>
      </c>
    </row>
    <row r="8" spans="1:3" ht="12.75">
      <c r="A8" t="s">
        <v>270</v>
      </c>
      <c r="B8">
        <v>40</v>
      </c>
      <c r="C8" t="s">
        <v>269</v>
      </c>
    </row>
    <row r="10" ht="12.75">
      <c r="A10" s="1" t="s">
        <v>265</v>
      </c>
    </row>
    <row r="11" spans="1:10" ht="12.75">
      <c r="A11" s="351" t="s">
        <v>313</v>
      </c>
      <c r="B11" s="351"/>
      <c r="C11" s="351"/>
      <c r="D11" s="351"/>
      <c r="E11" s="351"/>
      <c r="F11" s="351"/>
      <c r="G11" s="351"/>
      <c r="H11" s="351"/>
      <c r="I11" s="351"/>
      <c r="J11" s="351"/>
    </row>
    <row r="12" spans="1:8" ht="12.75">
      <c r="A12" s="351" t="s">
        <v>314</v>
      </c>
      <c r="B12" s="351"/>
      <c r="C12" s="351"/>
      <c r="D12" s="351"/>
      <c r="E12" s="351"/>
      <c r="F12" s="351"/>
      <c r="G12" s="351"/>
      <c r="H12" s="351"/>
    </row>
    <row r="14" ht="12.75">
      <c r="A14" s="1" t="s">
        <v>130</v>
      </c>
    </row>
    <row r="15" spans="1:10" ht="12.75">
      <c r="A15" s="351" t="s">
        <v>315</v>
      </c>
      <c r="B15" s="351"/>
      <c r="C15" s="351"/>
      <c r="D15" s="351"/>
      <c r="E15" s="351"/>
      <c r="F15" s="351"/>
      <c r="G15" s="351"/>
      <c r="H15" s="351"/>
      <c r="I15" s="351"/>
      <c r="J15" s="351"/>
    </row>
    <row r="16" spans="1:8" ht="12.75">
      <c r="A16" s="351" t="s">
        <v>314</v>
      </c>
      <c r="B16" s="351"/>
      <c r="C16" s="351"/>
      <c r="D16" s="351"/>
      <c r="E16" s="351"/>
      <c r="F16" s="351"/>
      <c r="G16" s="351"/>
      <c r="H16" s="351"/>
    </row>
    <row r="18" ht="12.75">
      <c r="A18" s="1" t="s">
        <v>259</v>
      </c>
    </row>
    <row r="19" spans="1:2" ht="12.75">
      <c r="A19" t="s">
        <v>4</v>
      </c>
      <c r="B19" t="s">
        <v>262</v>
      </c>
    </row>
    <row r="20" spans="1:2" ht="12.75">
      <c r="A20" t="s">
        <v>260</v>
      </c>
      <c r="B20" t="s">
        <v>263</v>
      </c>
    </row>
    <row r="21" spans="1:2" ht="12.75">
      <c r="A21" t="s">
        <v>261</v>
      </c>
      <c r="B21" t="s">
        <v>264</v>
      </c>
    </row>
    <row r="22" spans="1:2" ht="12.75">
      <c r="A22" t="s">
        <v>44</v>
      </c>
      <c r="B22" t="s">
        <v>35</v>
      </c>
    </row>
    <row r="25" ht="12.75">
      <c r="A25" s="1" t="s">
        <v>274</v>
      </c>
    </row>
    <row r="26" spans="1:5" ht="12.75">
      <c r="A26" s="351" t="s">
        <v>283</v>
      </c>
      <c r="B26" s="351"/>
      <c r="C26" s="351"/>
      <c r="D26" s="351"/>
      <c r="E26" s="351"/>
    </row>
    <row r="27" spans="1:7" ht="12.75">
      <c r="A27" s="351" t="s">
        <v>275</v>
      </c>
      <c r="B27" s="351"/>
      <c r="C27" s="351"/>
      <c r="D27" s="351"/>
      <c r="E27" s="351"/>
      <c r="F27" s="351"/>
      <c r="G27" s="351"/>
    </row>
    <row r="28" spans="1:6" ht="12.75">
      <c r="A28" s="351" t="s">
        <v>276</v>
      </c>
      <c r="B28" s="351"/>
      <c r="C28" s="351"/>
      <c r="D28" s="351"/>
      <c r="E28" s="351"/>
      <c r="F28" s="351"/>
    </row>
    <row r="29" spans="1:9" ht="12.75">
      <c r="A29" s="351" t="s">
        <v>277</v>
      </c>
      <c r="B29" s="351"/>
      <c r="C29" s="351"/>
      <c r="D29" s="351"/>
      <c r="E29" s="351"/>
      <c r="F29" s="351"/>
      <c r="G29" s="351"/>
      <c r="H29" s="351"/>
      <c r="I29" s="351"/>
    </row>
    <row r="30" spans="1:9" ht="12.75">
      <c r="A30" s="80" t="s">
        <v>316</v>
      </c>
      <c r="B30" s="80"/>
      <c r="C30" s="80"/>
      <c r="D30" s="80"/>
      <c r="E30" s="80"/>
      <c r="F30" s="80"/>
      <c r="G30" s="80"/>
      <c r="H30" s="80"/>
      <c r="I30" s="80"/>
    </row>
    <row r="31" spans="1:9" ht="12.75">
      <c r="A31" s="80" t="s">
        <v>317</v>
      </c>
      <c r="B31" s="80"/>
      <c r="C31" s="80"/>
      <c r="D31" s="80"/>
      <c r="E31" s="80"/>
      <c r="F31" s="80"/>
      <c r="G31" s="80"/>
      <c r="H31" s="80"/>
      <c r="I31" s="80"/>
    </row>
    <row r="32" spans="1:9" ht="12.75">
      <c r="A32" s="80" t="s">
        <v>318</v>
      </c>
      <c r="B32" s="80"/>
      <c r="C32" s="80"/>
      <c r="D32" s="80"/>
      <c r="E32" s="80"/>
      <c r="F32" s="80"/>
      <c r="G32" s="80"/>
      <c r="H32" s="80"/>
      <c r="I32" s="80"/>
    </row>
    <row r="34" spans="1:5" ht="12.75">
      <c r="A34" s="351" t="s">
        <v>278</v>
      </c>
      <c r="B34" s="351"/>
      <c r="C34" s="351"/>
      <c r="D34" s="351"/>
      <c r="E34" s="351"/>
    </row>
    <row r="35" spans="1:6" ht="12.75">
      <c r="A35" s="351" t="s">
        <v>279</v>
      </c>
      <c r="B35" s="351"/>
      <c r="C35" s="351"/>
      <c r="D35" s="351"/>
      <c r="E35" s="351"/>
      <c r="F35" s="351"/>
    </row>
  </sheetData>
  <sheetProtection password="DDE7" sheet="1" objects="1" scenarios="1" selectLockedCells="1"/>
  <mergeCells count="13">
    <mergeCell ref="A35:F35"/>
    <mergeCell ref="A27:G27"/>
    <mergeCell ref="A28:F28"/>
    <mergeCell ref="A29:I29"/>
    <mergeCell ref="A34:E34"/>
    <mergeCell ref="A26:E26"/>
    <mergeCell ref="A12:H12"/>
    <mergeCell ref="A5:N5"/>
    <mergeCell ref="A16:H16"/>
    <mergeCell ref="A11:J11"/>
    <mergeCell ref="A15:J15"/>
    <mergeCell ref="A4:F4"/>
    <mergeCell ref="A6:B6"/>
  </mergeCell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codeName="Tabelle1"/>
  <dimension ref="A1:BD103"/>
  <sheetViews>
    <sheetView tabSelected="1" zoomScale="72" zoomScaleNormal="72" workbookViewId="0" topLeftCell="A1">
      <selection activeCell="D7" sqref="D7:H7"/>
    </sheetView>
  </sheetViews>
  <sheetFormatPr defaultColWidth="11.421875" defaultRowHeight="12.75"/>
  <cols>
    <col min="2" max="2" width="20.140625" style="0" customWidth="1"/>
    <col min="3" max="3" width="24.00390625" style="0" customWidth="1"/>
    <col min="4" max="4" width="12.421875" style="0" bestFit="1" customWidth="1"/>
    <col min="5" max="5" width="12.421875" style="0" customWidth="1"/>
    <col min="6" max="6" width="13.7109375" style="0" customWidth="1"/>
    <col min="7" max="7" width="15.7109375" style="0" customWidth="1"/>
    <col min="8" max="8" width="14.140625" style="0" customWidth="1"/>
    <col min="9" max="9" width="2.7109375" style="0" customWidth="1"/>
    <col min="10" max="10" width="8.28125" style="0" customWidth="1"/>
    <col min="11" max="11" width="27.8515625" style="0" customWidth="1"/>
    <col min="12" max="12" width="11.7109375" style="0" bestFit="1" customWidth="1"/>
    <col min="13" max="13" width="13.28125" style="0" customWidth="1"/>
    <col min="14" max="15" width="11.7109375" style="0" customWidth="1"/>
    <col min="16" max="16" width="11.8515625" style="0" customWidth="1"/>
    <col min="17" max="17" width="2.7109375" style="0" customWidth="1"/>
    <col min="19" max="19" width="5.57421875" style="0" customWidth="1"/>
    <col min="36" max="36" width="21.57421875" style="0" hidden="1" customWidth="1"/>
    <col min="37" max="37" width="27.00390625" style="0" hidden="1" customWidth="1"/>
    <col min="38" max="38" width="12.7109375" style="0" hidden="1" customWidth="1"/>
    <col min="39" max="39" width="14.00390625" style="0" hidden="1" customWidth="1"/>
    <col min="40" max="40" width="17.8515625" style="0" hidden="1" customWidth="1"/>
    <col min="41" max="41" width="0" style="0" hidden="1" customWidth="1"/>
    <col min="42" max="42" width="13.8515625" style="0" hidden="1" customWidth="1"/>
    <col min="43" max="43" width="19.28125" style="0" hidden="1" customWidth="1"/>
    <col min="44" max="44" width="17.140625" style="0" hidden="1" customWidth="1"/>
    <col min="45" max="45" width="20.28125" style="0" hidden="1" customWidth="1"/>
    <col min="46" max="46" width="29.00390625" style="0" hidden="1" customWidth="1"/>
    <col min="47" max="48" width="0" style="0" hidden="1" customWidth="1"/>
    <col min="49" max="49" width="49.28125" style="0" hidden="1" customWidth="1"/>
    <col min="50" max="50" width="30.57421875" style="0" hidden="1" customWidth="1"/>
    <col min="51" max="51" width="18.00390625" style="0" hidden="1" customWidth="1"/>
    <col min="52" max="52" width="34.7109375" style="0" hidden="1" customWidth="1"/>
    <col min="53" max="53" width="15.28125" style="0" hidden="1" customWidth="1"/>
    <col min="54" max="54" width="6.7109375" style="0" hidden="1" customWidth="1"/>
    <col min="55" max="55" width="10.7109375" style="0" hidden="1" customWidth="1"/>
    <col min="56" max="56" width="13.8515625" style="0" hidden="1" customWidth="1"/>
    <col min="57" max="57" width="0" style="0" hidden="1" customWidth="1"/>
  </cols>
  <sheetData>
    <row r="1" spans="1:52" ht="36" thickBot="1">
      <c r="A1" s="393"/>
      <c r="B1" s="393"/>
      <c r="C1" s="393"/>
      <c r="D1" s="393"/>
      <c r="E1" s="393"/>
      <c r="F1" s="393"/>
      <c r="G1" s="393"/>
      <c r="H1" s="393"/>
      <c r="I1" s="393"/>
      <c r="J1" s="393"/>
      <c r="K1" s="393"/>
      <c r="L1" s="393"/>
      <c r="M1" s="393"/>
      <c r="N1" s="393"/>
      <c r="O1" s="393"/>
      <c r="P1" s="393"/>
      <c r="Q1" s="393"/>
      <c r="R1" s="393"/>
      <c r="S1" s="394"/>
      <c r="AW1" s="352" t="s">
        <v>47</v>
      </c>
      <c r="AX1" s="352"/>
      <c r="AY1" s="352"/>
      <c r="AZ1" s="352"/>
    </row>
    <row r="2" spans="1:52" ht="18.75" thickBot="1">
      <c r="A2" s="23"/>
      <c r="B2" s="23"/>
      <c r="C2" s="23"/>
      <c r="D2" s="23"/>
      <c r="E2" s="23"/>
      <c r="F2" s="23"/>
      <c r="G2" s="23"/>
      <c r="H2" s="23"/>
      <c r="I2" s="23"/>
      <c r="J2" s="23"/>
      <c r="K2" s="23"/>
      <c r="L2" s="23"/>
      <c r="M2" s="23"/>
      <c r="N2" s="23"/>
      <c r="O2" s="23"/>
      <c r="P2" s="23"/>
      <c r="Q2" s="23"/>
      <c r="R2" s="23"/>
      <c r="S2" s="139"/>
      <c r="AW2" s="360" t="s">
        <v>48</v>
      </c>
      <c r="AX2" s="361"/>
      <c r="AY2" s="361"/>
      <c r="AZ2" s="74" t="s">
        <v>49</v>
      </c>
    </row>
    <row r="3" spans="1:52" ht="15">
      <c r="A3" s="23"/>
      <c r="B3" s="23"/>
      <c r="C3" s="23"/>
      <c r="D3" s="23"/>
      <c r="E3" s="23"/>
      <c r="F3" s="23"/>
      <c r="G3" s="23"/>
      <c r="H3" s="23"/>
      <c r="I3" s="23"/>
      <c r="J3" s="23"/>
      <c r="K3" s="23"/>
      <c r="L3" s="23"/>
      <c r="M3" s="23"/>
      <c r="N3" s="23"/>
      <c r="O3" s="23"/>
      <c r="P3" s="23"/>
      <c r="Q3" s="23"/>
      <c r="R3" s="23"/>
      <c r="S3" s="139"/>
      <c r="AW3" s="362" t="s">
        <v>50</v>
      </c>
      <c r="AX3" s="363"/>
      <c r="AY3" s="363"/>
      <c r="AZ3" s="75">
        <v>85</v>
      </c>
    </row>
    <row r="4" spans="1:52" ht="15">
      <c r="A4" s="19"/>
      <c r="B4" s="27"/>
      <c r="C4" s="27"/>
      <c r="D4" s="27"/>
      <c r="E4" s="27"/>
      <c r="F4" s="27"/>
      <c r="G4" s="27"/>
      <c r="H4" s="27"/>
      <c r="I4" s="27"/>
      <c r="J4" s="27"/>
      <c r="K4" s="27"/>
      <c r="L4" s="27"/>
      <c r="M4" s="27"/>
      <c r="N4" s="27"/>
      <c r="O4" s="27"/>
      <c r="P4" s="27"/>
      <c r="Q4" s="23"/>
      <c r="R4" s="23"/>
      <c r="S4" s="139"/>
      <c r="V4" s="20"/>
      <c r="W4" s="20"/>
      <c r="X4" s="20"/>
      <c r="AJ4" s="119"/>
      <c r="AK4" s="119"/>
      <c r="AL4" s="136" t="s">
        <v>128</v>
      </c>
      <c r="AM4" s="136" t="s">
        <v>128</v>
      </c>
      <c r="AN4" s="119" t="s">
        <v>129</v>
      </c>
      <c r="AO4" s="119"/>
      <c r="AP4" s="119"/>
      <c r="AQ4" s="136" t="s">
        <v>240</v>
      </c>
      <c r="AR4" s="119"/>
      <c r="AS4" s="136"/>
      <c r="AT4" s="136" t="s">
        <v>240</v>
      </c>
      <c r="AW4" s="356" t="s">
        <v>51</v>
      </c>
      <c r="AX4" s="357"/>
      <c r="AY4" s="357"/>
      <c r="AZ4" s="76">
        <v>60</v>
      </c>
    </row>
    <row r="5" spans="1:52" ht="15.75" thickBot="1">
      <c r="A5" s="19"/>
      <c r="B5" s="27"/>
      <c r="C5" s="27"/>
      <c r="D5" s="27"/>
      <c r="E5" s="27"/>
      <c r="F5" s="27"/>
      <c r="G5" s="27"/>
      <c r="H5" s="27"/>
      <c r="I5" s="27"/>
      <c r="J5" s="27"/>
      <c r="K5" s="27"/>
      <c r="L5" s="27"/>
      <c r="M5" s="27"/>
      <c r="N5" s="27"/>
      <c r="O5" s="27"/>
      <c r="P5" s="27"/>
      <c r="Q5" s="23"/>
      <c r="R5" s="23"/>
      <c r="S5" s="139"/>
      <c r="V5" s="20"/>
      <c r="W5" s="20"/>
      <c r="X5" s="20"/>
      <c r="AJ5" s="135" t="s">
        <v>10</v>
      </c>
      <c r="AK5" s="135" t="s">
        <v>11</v>
      </c>
      <c r="AL5" s="119" t="s">
        <v>60</v>
      </c>
      <c r="AM5" s="119" t="s">
        <v>61</v>
      </c>
      <c r="AN5" s="119" t="s">
        <v>20</v>
      </c>
      <c r="AO5" s="119" t="s">
        <v>26</v>
      </c>
      <c r="AP5" s="119" t="s">
        <v>27</v>
      </c>
      <c r="AQ5" s="119" t="s">
        <v>28</v>
      </c>
      <c r="AR5" s="119" t="s">
        <v>30</v>
      </c>
      <c r="AS5" s="119" t="s">
        <v>124</v>
      </c>
      <c r="AT5" s="119" t="s">
        <v>125</v>
      </c>
      <c r="AW5" s="358" t="s">
        <v>52</v>
      </c>
      <c r="AX5" s="359"/>
      <c r="AY5" s="359"/>
      <c r="AZ5" s="77">
        <v>75</v>
      </c>
    </row>
    <row r="6" spans="1:52" ht="15">
      <c r="A6" s="19"/>
      <c r="B6" s="15"/>
      <c r="C6" s="25"/>
      <c r="D6" s="26">
        <v>100</v>
      </c>
      <c r="E6" s="26"/>
      <c r="F6" s="26"/>
      <c r="G6" s="26"/>
      <c r="H6" s="26"/>
      <c r="I6" s="26"/>
      <c r="J6" s="26"/>
      <c r="K6" s="26"/>
      <c r="L6" s="26"/>
      <c r="M6" s="26"/>
      <c r="N6" s="26"/>
      <c r="O6" s="26"/>
      <c r="P6" s="26"/>
      <c r="Q6" s="23"/>
      <c r="R6" s="23"/>
      <c r="S6" s="139"/>
      <c r="V6" s="20"/>
      <c r="W6" s="20"/>
      <c r="X6" s="20"/>
      <c r="AJ6" s="119" t="s">
        <v>12</v>
      </c>
      <c r="AK6" s="119" t="s">
        <v>48</v>
      </c>
      <c r="AL6" s="136">
        <v>0.85</v>
      </c>
      <c r="AM6" s="136">
        <v>0.75</v>
      </c>
      <c r="AN6" s="137">
        <v>10.57</v>
      </c>
      <c r="AO6" s="119" t="s">
        <v>22</v>
      </c>
      <c r="AP6" s="119" t="s">
        <v>33</v>
      </c>
      <c r="AQ6" s="138">
        <v>311</v>
      </c>
      <c r="AR6" s="119" t="s">
        <v>67</v>
      </c>
      <c r="AS6" s="137">
        <v>1.13</v>
      </c>
      <c r="AT6" s="138">
        <v>1.23</v>
      </c>
      <c r="AW6" s="78"/>
      <c r="AX6" s="78"/>
      <c r="AY6" s="78"/>
      <c r="AZ6" s="79"/>
    </row>
    <row r="7" spans="1:52" ht="13.5" thickBot="1">
      <c r="A7" s="23"/>
      <c r="B7" s="3" t="s">
        <v>3</v>
      </c>
      <c r="C7" s="4" t="s">
        <v>134</v>
      </c>
      <c r="D7" s="402" t="s">
        <v>173</v>
      </c>
      <c r="E7" s="403"/>
      <c r="F7" s="403"/>
      <c r="G7" s="403"/>
      <c r="H7" s="404"/>
      <c r="I7" s="4"/>
      <c r="J7" s="7"/>
      <c r="K7" s="7"/>
      <c r="L7" s="7"/>
      <c r="M7" s="7"/>
      <c r="N7" s="7"/>
      <c r="O7" s="7"/>
      <c r="P7" s="7"/>
      <c r="Q7" s="8"/>
      <c r="R7" s="23"/>
      <c r="S7" s="139"/>
      <c r="V7" s="20"/>
      <c r="W7" s="20"/>
      <c r="X7" s="20"/>
      <c r="AJ7" s="119" t="s">
        <v>13</v>
      </c>
      <c r="AK7" s="119" t="s">
        <v>53</v>
      </c>
      <c r="AL7" s="136">
        <v>0.95</v>
      </c>
      <c r="AM7" s="136">
        <v>0.8</v>
      </c>
      <c r="AN7" s="137">
        <v>9.76</v>
      </c>
      <c r="AO7" s="119" t="s">
        <v>23</v>
      </c>
      <c r="AP7" s="119" t="s">
        <v>32</v>
      </c>
      <c r="AQ7" s="138">
        <v>236</v>
      </c>
      <c r="AR7" s="119" t="s">
        <v>67</v>
      </c>
      <c r="AS7" s="137">
        <v>1.14</v>
      </c>
      <c r="AT7" s="138">
        <v>1.17</v>
      </c>
      <c r="AW7" s="80"/>
      <c r="AX7" s="80"/>
      <c r="AY7" s="80"/>
      <c r="AZ7" s="81"/>
    </row>
    <row r="8" spans="1:52" ht="18.75" thickBot="1">
      <c r="A8" s="23"/>
      <c r="B8" s="3"/>
      <c r="C8" s="4" t="s">
        <v>5</v>
      </c>
      <c r="D8" s="228">
        <v>130</v>
      </c>
      <c r="E8" s="4" t="s">
        <v>6</v>
      </c>
      <c r="F8" s="4"/>
      <c r="G8" s="4"/>
      <c r="H8" s="4"/>
      <c r="I8" s="4"/>
      <c r="J8" s="7"/>
      <c r="K8" s="7"/>
      <c r="L8" s="7"/>
      <c r="M8" s="7"/>
      <c r="N8" s="7"/>
      <c r="O8" s="7"/>
      <c r="P8" s="7"/>
      <c r="Q8" s="8"/>
      <c r="R8" s="23"/>
      <c r="S8" s="139"/>
      <c r="V8" s="20"/>
      <c r="W8" s="20"/>
      <c r="X8" s="20"/>
      <c r="AJ8" s="119"/>
      <c r="AK8" s="119" t="s">
        <v>54</v>
      </c>
      <c r="AL8" s="136">
        <v>0.8</v>
      </c>
      <c r="AM8" s="136">
        <v>0.6</v>
      </c>
      <c r="AN8" s="137">
        <v>4.8</v>
      </c>
      <c r="AO8" s="119" t="s">
        <v>24</v>
      </c>
      <c r="AP8" s="119" t="s">
        <v>31</v>
      </c>
      <c r="AQ8" s="138">
        <v>4</v>
      </c>
      <c r="AR8" s="119" t="s">
        <v>67</v>
      </c>
      <c r="AS8" s="137">
        <v>0.14</v>
      </c>
      <c r="AT8" s="138">
        <v>1.08</v>
      </c>
      <c r="AW8" s="360" t="s">
        <v>53</v>
      </c>
      <c r="AX8" s="361"/>
      <c r="AY8" s="361"/>
      <c r="AZ8" s="74" t="s">
        <v>49</v>
      </c>
    </row>
    <row r="9" spans="1:52" ht="15">
      <c r="A9" s="23"/>
      <c r="B9" s="5"/>
      <c r="C9" s="4" t="s">
        <v>8</v>
      </c>
      <c r="D9" s="226">
        <v>0.8</v>
      </c>
      <c r="E9" s="4"/>
      <c r="F9" s="4"/>
      <c r="G9" s="4"/>
      <c r="H9" s="4"/>
      <c r="I9" s="4"/>
      <c r="J9" s="7"/>
      <c r="K9" s="7"/>
      <c r="L9" s="7"/>
      <c r="M9" s="7"/>
      <c r="N9" s="7"/>
      <c r="O9" s="7"/>
      <c r="P9" s="7"/>
      <c r="Q9" s="8"/>
      <c r="R9" s="23"/>
      <c r="S9" s="139"/>
      <c r="AJ9" s="119"/>
      <c r="AK9" s="119" t="s">
        <v>55</v>
      </c>
      <c r="AL9" s="136">
        <v>0.8</v>
      </c>
      <c r="AM9" s="136">
        <v>0.6</v>
      </c>
      <c r="AN9" s="137">
        <v>750</v>
      </c>
      <c r="AO9" s="119" t="s">
        <v>65</v>
      </c>
      <c r="AP9" s="119" t="s">
        <v>66</v>
      </c>
      <c r="AQ9" s="138">
        <v>4</v>
      </c>
      <c r="AR9" s="119" t="s">
        <v>67</v>
      </c>
      <c r="AS9" s="137">
        <v>0.06</v>
      </c>
      <c r="AT9" s="138">
        <v>1.08</v>
      </c>
      <c r="AW9" s="362" t="s">
        <v>50</v>
      </c>
      <c r="AX9" s="363"/>
      <c r="AY9" s="363"/>
      <c r="AZ9" s="82">
        <v>95</v>
      </c>
    </row>
    <row r="10" spans="1:52" ht="17.25" customHeight="1">
      <c r="A10" s="23"/>
      <c r="B10" s="5"/>
      <c r="C10" s="4" t="s">
        <v>4</v>
      </c>
      <c r="D10" s="219">
        <f>D8/D9</f>
        <v>162.5</v>
      </c>
      <c r="E10" s="4" t="s">
        <v>6</v>
      </c>
      <c r="F10" s="219"/>
      <c r="G10" s="219"/>
      <c r="H10" s="4"/>
      <c r="I10" s="4"/>
      <c r="J10" s="7"/>
      <c r="K10" s="7"/>
      <c r="L10" s="7"/>
      <c r="M10" s="7"/>
      <c r="N10" s="7"/>
      <c r="O10" s="7"/>
      <c r="P10" s="7"/>
      <c r="Q10" s="8"/>
      <c r="R10" s="23"/>
      <c r="S10" s="139"/>
      <c r="AJ10" s="119"/>
      <c r="AK10" s="119" t="s">
        <v>62</v>
      </c>
      <c r="AL10" s="136">
        <v>4</v>
      </c>
      <c r="AM10" s="136">
        <v>3.5</v>
      </c>
      <c r="AN10" s="137">
        <v>1</v>
      </c>
      <c r="AO10" s="119" t="s">
        <v>46</v>
      </c>
      <c r="AP10" s="119" t="s">
        <v>2</v>
      </c>
      <c r="AQ10" s="138">
        <f>VLOOKUP($M$38,$BA$70:$BD$74,4,FALSE)</f>
        <v>7</v>
      </c>
      <c r="AR10" s="119" t="s">
        <v>67</v>
      </c>
      <c r="AS10" s="137"/>
      <c r="AT10" s="138">
        <f>VLOOKUP($M$38,$BA$70:$BC$74,3,FALSE)</f>
        <v>1.5</v>
      </c>
      <c r="AW10" s="356" t="s">
        <v>51</v>
      </c>
      <c r="AX10" s="357"/>
      <c r="AY10" s="357"/>
      <c r="AZ10" s="76">
        <v>70</v>
      </c>
    </row>
    <row r="11" spans="1:52" ht="16.5" thickBot="1">
      <c r="A11" s="23"/>
      <c r="B11" s="6"/>
      <c r="C11" s="7"/>
      <c r="D11" s="7"/>
      <c r="E11" s="7"/>
      <c r="F11" s="7"/>
      <c r="G11" s="7"/>
      <c r="H11" s="7"/>
      <c r="I11" s="7"/>
      <c r="J11" s="7"/>
      <c r="K11" s="7"/>
      <c r="L11" s="7"/>
      <c r="M11" s="7"/>
      <c r="N11" s="7"/>
      <c r="O11" s="7"/>
      <c r="P11" s="7"/>
      <c r="Q11" s="8"/>
      <c r="R11" s="23"/>
      <c r="S11" s="139"/>
      <c r="AJ11" s="119"/>
      <c r="AK11" s="119" t="s">
        <v>63</v>
      </c>
      <c r="AL11" s="136">
        <v>4.2</v>
      </c>
      <c r="AM11" s="136">
        <v>4</v>
      </c>
      <c r="AN11" s="137">
        <v>1</v>
      </c>
      <c r="AO11" s="119" t="s">
        <v>46</v>
      </c>
      <c r="AP11" s="119" t="s">
        <v>2</v>
      </c>
      <c r="AQ11" s="138">
        <f>VLOOKUP($M$38,$BA$70:$BD$74,4,FALSE)</f>
        <v>7</v>
      </c>
      <c r="AR11" s="119" t="s">
        <v>67</v>
      </c>
      <c r="AS11" s="137"/>
      <c r="AT11" s="138">
        <f>VLOOKUP($M$38,$BA$70:$BC$74,3,FALSE)</f>
        <v>1.5</v>
      </c>
      <c r="AW11" s="358" t="s">
        <v>52</v>
      </c>
      <c r="AX11" s="359"/>
      <c r="AY11" s="359"/>
      <c r="AZ11" s="77">
        <v>80</v>
      </c>
    </row>
    <row r="12" spans="1:52" ht="26.25">
      <c r="A12" s="23"/>
      <c r="B12" s="413" t="s">
        <v>36</v>
      </c>
      <c r="C12" s="414"/>
      <c r="D12" s="414"/>
      <c r="E12" s="414"/>
      <c r="F12" s="414"/>
      <c r="G12" s="414"/>
      <c r="H12" s="414"/>
      <c r="I12" s="415"/>
      <c r="J12" s="416" t="s">
        <v>37</v>
      </c>
      <c r="K12" s="417"/>
      <c r="L12" s="417"/>
      <c r="M12" s="417"/>
      <c r="N12" s="417"/>
      <c r="O12" s="417"/>
      <c r="P12" s="417"/>
      <c r="Q12" s="418"/>
      <c r="R12" s="23"/>
      <c r="S12" s="139"/>
      <c r="AJ12" s="119"/>
      <c r="AK12" s="137" t="s">
        <v>64</v>
      </c>
      <c r="AL12" s="136">
        <v>2.8</v>
      </c>
      <c r="AM12" s="136">
        <v>2.8</v>
      </c>
      <c r="AN12" s="137">
        <v>1</v>
      </c>
      <c r="AO12" s="119" t="s">
        <v>46</v>
      </c>
      <c r="AP12" s="119" t="s">
        <v>2</v>
      </c>
      <c r="AQ12" s="138">
        <f>VLOOKUP($M$38,$BA$70:$BD$74,4,FALSE)</f>
        <v>7</v>
      </c>
      <c r="AR12" s="119" t="s">
        <v>67</v>
      </c>
      <c r="AS12" s="137"/>
      <c r="AT12" s="138">
        <f>VLOOKUP($M$38,$BA$70:$BC$74,3,FALSE)</f>
        <v>1.5</v>
      </c>
      <c r="AW12" s="362"/>
      <c r="AX12" s="363"/>
      <c r="AY12" s="363"/>
      <c r="AZ12" s="82"/>
    </row>
    <row r="13" spans="1:52" ht="15" customHeight="1" thickBot="1">
      <c r="A13" s="23"/>
      <c r="B13" s="72" t="s">
        <v>7</v>
      </c>
      <c r="C13" s="114"/>
      <c r="D13" s="114"/>
      <c r="E13" s="114"/>
      <c r="F13" s="293" t="s">
        <v>250</v>
      </c>
      <c r="G13" s="114"/>
      <c r="H13" s="114"/>
      <c r="I13" s="115"/>
      <c r="J13" s="73" t="s">
        <v>7</v>
      </c>
      <c r="K13" s="116"/>
      <c r="L13" s="116"/>
      <c r="M13" s="116"/>
      <c r="N13" s="116"/>
      <c r="O13" s="116"/>
      <c r="P13" s="116"/>
      <c r="Q13" s="117"/>
      <c r="R13" s="23"/>
      <c r="S13" s="139"/>
      <c r="AJ13" s="119"/>
      <c r="AK13" s="119" t="s">
        <v>132</v>
      </c>
      <c r="AL13" s="136">
        <v>1</v>
      </c>
      <c r="AM13" s="136">
        <v>1</v>
      </c>
      <c r="AN13" s="137">
        <v>1</v>
      </c>
      <c r="AO13" s="119" t="s">
        <v>46</v>
      </c>
      <c r="AP13" s="119" t="s">
        <v>2</v>
      </c>
      <c r="AQ13" s="138">
        <f>VLOOKUP($M$38,$BA$70:$BD$74,4,FALSE)</f>
        <v>7</v>
      </c>
      <c r="AR13" s="119" t="s">
        <v>67</v>
      </c>
      <c r="AS13" s="137"/>
      <c r="AT13" s="138">
        <f>VLOOKUP($M$38,$BA$70:$BC$74,3,FALSE)</f>
        <v>1.5</v>
      </c>
      <c r="AZ13" s="84"/>
    </row>
    <row r="14" spans="1:52" ht="15" customHeight="1" thickBot="1">
      <c r="A14" s="23"/>
      <c r="B14" s="16" t="s">
        <v>3</v>
      </c>
      <c r="C14" s="17" t="s">
        <v>207</v>
      </c>
      <c r="D14" s="226">
        <v>15</v>
      </c>
      <c r="E14" s="17" t="s">
        <v>1</v>
      </c>
      <c r="F14" s="303" t="s">
        <v>249</v>
      </c>
      <c r="G14" s="303" t="s">
        <v>252</v>
      </c>
      <c r="H14" s="304" t="s">
        <v>251</v>
      </c>
      <c r="I14" s="40"/>
      <c r="J14" s="48" t="s">
        <v>3</v>
      </c>
      <c r="K14" s="159" t="s">
        <v>135</v>
      </c>
      <c r="L14" s="226">
        <v>20</v>
      </c>
      <c r="M14" s="305" t="s">
        <v>1</v>
      </c>
      <c r="N14" s="306"/>
      <c r="O14" s="306"/>
      <c r="P14" s="305"/>
      <c r="Q14" s="59"/>
      <c r="R14" s="23"/>
      <c r="S14" s="139"/>
      <c r="AJ14" s="119"/>
      <c r="AK14" s="145" t="s">
        <v>85</v>
      </c>
      <c r="AL14" s="145">
        <v>0.98</v>
      </c>
      <c r="AM14" s="145">
        <v>0.98</v>
      </c>
      <c r="AN14" s="137">
        <v>1</v>
      </c>
      <c r="AO14" s="146" t="s">
        <v>46</v>
      </c>
      <c r="AP14" s="119" t="s">
        <v>2</v>
      </c>
      <c r="AQ14" s="138">
        <v>73</v>
      </c>
      <c r="AR14" s="119" t="s">
        <v>67</v>
      </c>
      <c r="AS14" s="137">
        <v>1.1</v>
      </c>
      <c r="AT14" s="138">
        <v>0.92</v>
      </c>
      <c r="AW14" s="360" t="s">
        <v>54</v>
      </c>
      <c r="AX14" s="361"/>
      <c r="AY14" s="361"/>
      <c r="AZ14" s="74" t="s">
        <v>49</v>
      </c>
    </row>
    <row r="15" spans="1:52" ht="15" customHeight="1">
      <c r="A15" s="23"/>
      <c r="B15" s="29"/>
      <c r="C15" s="17" t="s">
        <v>208</v>
      </c>
      <c r="D15" s="226">
        <v>15</v>
      </c>
      <c r="E15" s="17" t="s">
        <v>1</v>
      </c>
      <c r="F15" s="294">
        <v>0</v>
      </c>
      <c r="G15" s="294">
        <v>0</v>
      </c>
      <c r="H15" s="294">
        <v>0</v>
      </c>
      <c r="I15" s="40"/>
      <c r="J15" s="49"/>
      <c r="K15" s="143" t="s">
        <v>136</v>
      </c>
      <c r="L15" s="226"/>
      <c r="M15" s="305" t="s">
        <v>2</v>
      </c>
      <c r="N15" s="306"/>
      <c r="O15" s="306"/>
      <c r="P15" s="305"/>
      <c r="Q15" s="59"/>
      <c r="R15" s="23"/>
      <c r="S15" s="139"/>
      <c r="AK15" s="144" t="s">
        <v>137</v>
      </c>
      <c r="AW15" s="362" t="s">
        <v>50</v>
      </c>
      <c r="AX15" s="363"/>
      <c r="AY15" s="363"/>
      <c r="AZ15" s="75">
        <v>80</v>
      </c>
    </row>
    <row r="16" spans="1:52" ht="15" customHeight="1">
      <c r="A16" s="23"/>
      <c r="B16" s="29"/>
      <c r="C16" s="17"/>
      <c r="D16" s="17"/>
      <c r="E16" s="17"/>
      <c r="F16" s="17"/>
      <c r="G16" s="17"/>
      <c r="H16" s="17"/>
      <c r="I16" s="40"/>
      <c r="J16" s="49"/>
      <c r="K16" s="50"/>
      <c r="L16" s="50"/>
      <c r="M16" s="307"/>
      <c r="N16" s="307"/>
      <c r="O16" s="307"/>
      <c r="P16" s="307"/>
      <c r="Q16" s="59"/>
      <c r="R16" s="23"/>
      <c r="S16" s="139"/>
      <c r="AW16" s="356" t="s">
        <v>51</v>
      </c>
      <c r="AX16" s="357"/>
      <c r="AY16" s="357"/>
      <c r="AZ16" s="76">
        <v>50</v>
      </c>
    </row>
    <row r="17" spans="1:52" ht="15" customHeight="1" thickBot="1">
      <c r="A17" s="23"/>
      <c r="B17" s="29"/>
      <c r="C17" s="30" t="s">
        <v>210</v>
      </c>
      <c r="D17" s="229">
        <f>D14*$D$10</f>
        <v>2437.5</v>
      </c>
      <c r="E17" s="17" t="s">
        <v>2</v>
      </c>
      <c r="F17" s="229" t="s">
        <v>250</v>
      </c>
      <c r="G17" s="229">
        <f>(((F15*G15)*H15*4.19)/3600)*365</f>
        <v>0</v>
      </c>
      <c r="H17" s="17" t="s">
        <v>2</v>
      </c>
      <c r="I17" s="40"/>
      <c r="J17" s="49"/>
      <c r="K17" s="49" t="s">
        <v>0</v>
      </c>
      <c r="L17" s="214">
        <f>IF(L15&gt;0,L15,L14*$D$10)</f>
        <v>3250</v>
      </c>
      <c r="M17" s="305" t="s">
        <v>2</v>
      </c>
      <c r="N17" s="308"/>
      <c r="O17" s="308"/>
      <c r="P17" s="305"/>
      <c r="Q17" s="59"/>
      <c r="R17" s="23"/>
      <c r="S17" s="139"/>
      <c r="AW17" s="358" t="s">
        <v>52</v>
      </c>
      <c r="AX17" s="359"/>
      <c r="AY17" s="359"/>
      <c r="AZ17" s="77">
        <v>60</v>
      </c>
    </row>
    <row r="18" spans="1:52" ht="15" customHeight="1" thickBot="1">
      <c r="A18" s="23"/>
      <c r="B18" s="29"/>
      <c r="C18" s="31" t="s">
        <v>209</v>
      </c>
      <c r="D18" s="230">
        <f>IF(G17=0,D15*D10,G17)</f>
        <v>2437.5</v>
      </c>
      <c r="E18" s="36" t="s">
        <v>2</v>
      </c>
      <c r="F18" s="229"/>
      <c r="G18" s="229"/>
      <c r="H18" s="17"/>
      <c r="I18" s="40"/>
      <c r="J18" s="49"/>
      <c r="K18" s="49"/>
      <c r="L18" s="49"/>
      <c r="M18" s="49"/>
      <c r="N18" s="49"/>
      <c r="O18" s="49"/>
      <c r="P18" s="49"/>
      <c r="Q18" s="59"/>
      <c r="R18" s="23"/>
      <c r="S18" s="139"/>
      <c r="AW18" s="80"/>
      <c r="AX18" s="80"/>
      <c r="AY18" s="80"/>
      <c r="AZ18" s="85"/>
    </row>
    <row r="19" spans="1:52" ht="15" customHeight="1" thickBot="1">
      <c r="A19" s="23"/>
      <c r="B19" s="29"/>
      <c r="C19" s="30" t="s">
        <v>16</v>
      </c>
      <c r="D19" s="229">
        <f>SUM(D17:D18)</f>
        <v>4875</v>
      </c>
      <c r="E19" s="17" t="s">
        <v>2</v>
      </c>
      <c r="F19" s="229"/>
      <c r="G19" s="229"/>
      <c r="H19" s="17"/>
      <c r="I19" s="40"/>
      <c r="J19" s="49"/>
      <c r="K19" s="49"/>
      <c r="L19" s="49"/>
      <c r="M19" s="49"/>
      <c r="N19" s="49"/>
      <c r="O19" s="49"/>
      <c r="P19" s="49"/>
      <c r="Q19" s="59"/>
      <c r="R19" s="23"/>
      <c r="S19" s="139"/>
      <c r="AW19" s="360" t="s">
        <v>55</v>
      </c>
      <c r="AX19" s="361"/>
      <c r="AY19" s="361"/>
      <c r="AZ19" s="74" t="s">
        <v>49</v>
      </c>
    </row>
    <row r="20" spans="1:52" ht="15" customHeight="1">
      <c r="A20" s="23"/>
      <c r="B20" s="32"/>
      <c r="C20" s="33"/>
      <c r="D20" s="33"/>
      <c r="E20" s="33"/>
      <c r="F20" s="33"/>
      <c r="G20" s="33"/>
      <c r="H20" s="33"/>
      <c r="I20" s="41"/>
      <c r="J20" s="51"/>
      <c r="K20" s="51"/>
      <c r="L20" s="51"/>
      <c r="M20" s="51"/>
      <c r="N20" s="51"/>
      <c r="O20" s="51"/>
      <c r="P20" s="51"/>
      <c r="Q20" s="60"/>
      <c r="R20" s="23"/>
      <c r="S20" s="139"/>
      <c r="AJ20" s="297" t="s">
        <v>256</v>
      </c>
      <c r="AK20" s="1"/>
      <c r="AW20" s="362" t="s">
        <v>50</v>
      </c>
      <c r="AX20" s="363"/>
      <c r="AY20" s="363"/>
      <c r="AZ20" s="82">
        <v>80</v>
      </c>
    </row>
    <row r="21" spans="1:52" ht="15" customHeight="1">
      <c r="A21" s="23"/>
      <c r="B21" s="34" t="s">
        <v>9</v>
      </c>
      <c r="C21" s="18"/>
      <c r="D21" s="295" t="s">
        <v>255</v>
      </c>
      <c r="E21" s="295" t="s">
        <v>253</v>
      </c>
      <c r="F21" s="295" t="s">
        <v>254</v>
      </c>
      <c r="G21" s="295"/>
      <c r="H21" s="18"/>
      <c r="I21" s="42"/>
      <c r="J21" s="52" t="s">
        <v>9</v>
      </c>
      <c r="K21" s="50"/>
      <c r="L21" s="296" t="s">
        <v>255</v>
      </c>
      <c r="M21" s="296" t="s">
        <v>253</v>
      </c>
      <c r="N21" s="296" t="s">
        <v>254</v>
      </c>
      <c r="O21" s="296"/>
      <c r="P21" s="50"/>
      <c r="Q21" s="59"/>
      <c r="R21" s="23"/>
      <c r="S21" s="139"/>
      <c r="AJ21" s="297" t="s">
        <v>288</v>
      </c>
      <c r="AW21" s="356" t="s">
        <v>51</v>
      </c>
      <c r="AX21" s="357"/>
      <c r="AY21" s="357"/>
      <c r="AZ21" s="76">
        <v>50</v>
      </c>
    </row>
    <row r="22" spans="1:52" ht="15" customHeight="1" thickBot="1">
      <c r="A22" s="23"/>
      <c r="B22" s="16" t="s">
        <v>3</v>
      </c>
      <c r="C22" s="17" t="s">
        <v>284</v>
      </c>
      <c r="D22" s="231">
        <v>0</v>
      </c>
      <c r="E22" s="231">
        <v>0</v>
      </c>
      <c r="F22" s="231">
        <v>0</v>
      </c>
      <c r="G22" s="17" t="s">
        <v>6</v>
      </c>
      <c r="H22" s="17"/>
      <c r="I22" s="40"/>
      <c r="J22" s="48" t="s">
        <v>3</v>
      </c>
      <c r="K22" s="49" t="s">
        <v>286</v>
      </c>
      <c r="L22" s="231">
        <v>0</v>
      </c>
      <c r="M22" s="231">
        <v>0</v>
      </c>
      <c r="N22" s="231">
        <v>0</v>
      </c>
      <c r="O22" s="49" t="str">
        <f>"m² sind ca. "&amp;ROUND((L22+M22+N22)/8,1)&amp;" kWp"</f>
        <v>m² sind ca. 0 kWp</v>
      </c>
      <c r="P22" s="49"/>
      <c r="Q22" s="59"/>
      <c r="R22" s="23"/>
      <c r="S22" s="139"/>
      <c r="AJ22" s="297" t="s">
        <v>257</v>
      </c>
      <c r="AW22" s="358" t="s">
        <v>52</v>
      </c>
      <c r="AX22" s="359"/>
      <c r="AY22" s="359"/>
      <c r="AZ22" s="77">
        <v>60</v>
      </c>
    </row>
    <row r="23" spans="1:52" ht="15" customHeight="1">
      <c r="A23" s="23"/>
      <c r="B23" s="16"/>
      <c r="C23" s="40" t="s">
        <v>290</v>
      </c>
      <c r="D23" s="231">
        <v>0</v>
      </c>
      <c r="E23" s="231">
        <v>0</v>
      </c>
      <c r="F23" s="231">
        <v>0</v>
      </c>
      <c r="G23" s="17" t="s">
        <v>1</v>
      </c>
      <c r="H23" s="17"/>
      <c r="I23" s="40"/>
      <c r="J23" s="48"/>
      <c r="K23" s="157" t="s">
        <v>290</v>
      </c>
      <c r="L23" s="231">
        <v>0</v>
      </c>
      <c r="M23" s="231">
        <v>0</v>
      </c>
      <c r="N23" s="231">
        <v>0</v>
      </c>
      <c r="O23" s="311" t="s">
        <v>15</v>
      </c>
      <c r="P23" s="49"/>
      <c r="Q23" s="59"/>
      <c r="R23" s="23"/>
      <c r="S23" s="139"/>
      <c r="AJ23" s="297"/>
      <c r="AW23" s="78"/>
      <c r="AX23" s="78"/>
      <c r="AY23" s="78"/>
      <c r="AZ23" s="171"/>
    </row>
    <row r="24" spans="1:52" ht="15" customHeight="1">
      <c r="A24" s="23"/>
      <c r="B24" s="16"/>
      <c r="C24" s="17" t="s">
        <v>247</v>
      </c>
      <c r="D24" s="298">
        <v>0</v>
      </c>
      <c r="E24" s="298">
        <v>0</v>
      </c>
      <c r="F24" s="298">
        <v>0</v>
      </c>
      <c r="G24" s="17" t="s">
        <v>248</v>
      </c>
      <c r="H24" s="17"/>
      <c r="I24" s="40"/>
      <c r="J24" s="48"/>
      <c r="K24" s="49" t="s">
        <v>247</v>
      </c>
      <c r="L24" s="298">
        <v>0</v>
      </c>
      <c r="M24" s="298">
        <v>0</v>
      </c>
      <c r="N24" s="298">
        <v>0</v>
      </c>
      <c r="O24" s="49" t="s">
        <v>248</v>
      </c>
      <c r="P24" s="49"/>
      <c r="Q24" s="59"/>
      <c r="R24" s="23"/>
      <c r="S24" s="139"/>
      <c r="AJ24" s="297"/>
      <c r="AW24" s="78"/>
      <c r="AX24" s="78"/>
      <c r="AY24" s="78"/>
      <c r="AZ24" s="171"/>
    </row>
    <row r="25" spans="1:52" ht="15" customHeight="1">
      <c r="A25" s="23"/>
      <c r="B25" s="16"/>
      <c r="C25" s="17" t="s">
        <v>285</v>
      </c>
      <c r="D25" s="231">
        <v>0</v>
      </c>
      <c r="E25" s="231">
        <v>0</v>
      </c>
      <c r="F25" s="231">
        <v>0</v>
      </c>
      <c r="G25" s="17" t="s">
        <v>6</v>
      </c>
      <c r="H25" s="17"/>
      <c r="I25" s="40"/>
      <c r="J25" s="48"/>
      <c r="K25" s="49" t="s">
        <v>287</v>
      </c>
      <c r="L25" s="231">
        <v>0</v>
      </c>
      <c r="M25" s="231">
        <v>0</v>
      </c>
      <c r="N25" s="231">
        <v>0</v>
      </c>
      <c r="O25" s="49" t="str">
        <f>"m² sind ca. "&amp;ROUND((L25+M25+N25)/8,1)&amp;" kWp"</f>
        <v>m² sind ca. 0 kWp</v>
      </c>
      <c r="P25" s="49"/>
      <c r="Q25" s="59"/>
      <c r="R25" s="23"/>
      <c r="S25" s="139"/>
      <c r="AJ25" s="297"/>
      <c r="AW25" s="78"/>
      <c r="AX25" s="78"/>
      <c r="AY25" s="78"/>
      <c r="AZ25" s="171"/>
    </row>
    <row r="26" spans="1:52" ht="15" customHeight="1">
      <c r="A26" s="23"/>
      <c r="B26" s="16"/>
      <c r="C26" s="40" t="s">
        <v>291</v>
      </c>
      <c r="D26" s="231">
        <v>0</v>
      </c>
      <c r="E26" s="231">
        <v>0</v>
      </c>
      <c r="F26" s="231">
        <v>0</v>
      </c>
      <c r="G26" s="17" t="s">
        <v>1</v>
      </c>
      <c r="H26" s="17"/>
      <c r="I26" s="40"/>
      <c r="J26" s="48"/>
      <c r="K26" s="157" t="s">
        <v>291</v>
      </c>
      <c r="L26" s="231">
        <v>0</v>
      </c>
      <c r="M26" s="231">
        <v>0</v>
      </c>
      <c r="N26" s="231">
        <v>0</v>
      </c>
      <c r="O26" s="311" t="s">
        <v>15</v>
      </c>
      <c r="P26" s="49"/>
      <c r="Q26" s="59"/>
      <c r="R26" s="23"/>
      <c r="S26" s="139"/>
      <c r="AJ26" s="297"/>
      <c r="AW26" s="78"/>
      <c r="AX26" s="78"/>
      <c r="AY26" s="78"/>
      <c r="AZ26" s="171"/>
    </row>
    <row r="27" spans="1:52" ht="15" customHeight="1" thickBot="1">
      <c r="A27" s="23"/>
      <c r="B27" s="16"/>
      <c r="C27" s="17" t="s">
        <v>247</v>
      </c>
      <c r="D27" s="298">
        <v>90</v>
      </c>
      <c r="E27" s="298">
        <v>90</v>
      </c>
      <c r="F27" s="298">
        <v>90</v>
      </c>
      <c r="G27" s="17" t="s">
        <v>248</v>
      </c>
      <c r="H27" s="17"/>
      <c r="I27" s="40"/>
      <c r="J27" s="48"/>
      <c r="K27" s="49" t="s">
        <v>247</v>
      </c>
      <c r="L27" s="298">
        <v>90</v>
      </c>
      <c r="M27" s="298">
        <v>90</v>
      </c>
      <c r="N27" s="298">
        <v>90</v>
      </c>
      <c r="O27" s="49" t="s">
        <v>248</v>
      </c>
      <c r="P27" s="49"/>
      <c r="Q27" s="59"/>
      <c r="R27" s="23"/>
      <c r="S27" s="139"/>
      <c r="AJ27">
        <v>0</v>
      </c>
      <c r="AW27" s="78"/>
      <c r="AX27" s="78"/>
      <c r="AY27" s="78"/>
      <c r="AZ27" s="171"/>
    </row>
    <row r="28" spans="1:52" ht="15" customHeight="1">
      <c r="A28" s="23"/>
      <c r="B28" s="35"/>
      <c r="C28" s="40" t="s">
        <v>292</v>
      </c>
      <c r="D28" s="300">
        <f>D23*(IF(D24=0,0.85,IF(D24=30,0.85,IF(D24=60,0.75,IF(D24=90,0.55,1)))))</f>
        <v>0</v>
      </c>
      <c r="E28" s="300">
        <f>E23*(IF(E24=0,1,IF(E24=30,1,IF(E24=60,0.85,IF(E24=90,0.65,1)))))</f>
        <v>0</v>
      </c>
      <c r="F28" s="300">
        <f>F23*(IF(F24=0,0.85,IF(F24=30,0.85,IF(F24=60,0.75,IF(F24=90,0.55,1)))))</f>
        <v>0</v>
      </c>
      <c r="G28" s="17" t="s">
        <v>1</v>
      </c>
      <c r="H28" s="17"/>
      <c r="I28" s="40"/>
      <c r="J28" s="50"/>
      <c r="K28" s="157" t="s">
        <v>292</v>
      </c>
      <c r="L28" s="300">
        <f>L23*(IF(L24=0,0.85,IF(L24=30,0.85,IF(L24=60,0.75,IF(L24=90,0.55,1)))))</f>
        <v>0</v>
      </c>
      <c r="M28" s="300">
        <f>M23*(IF(M24=0,1,IF(M24=30,1,IF(M24=60,0.85,IF(M24=90,0.65,1)))))</f>
        <v>0</v>
      </c>
      <c r="N28" s="300">
        <f>M23*(IF(N24=0,0.85,IF(N24=30,0.85,IF(N24=60,0.75,IF(N24=90,0.55,1)))))</f>
        <v>0</v>
      </c>
      <c r="O28" s="311" t="s">
        <v>15</v>
      </c>
      <c r="P28" s="49"/>
      <c r="Q28" s="59"/>
      <c r="R28" s="23"/>
      <c r="S28" s="139"/>
      <c r="AJ28">
        <v>30</v>
      </c>
      <c r="AZ28" s="83"/>
    </row>
    <row r="29" spans="1:52" ht="15" customHeight="1" thickBot="1">
      <c r="A29" s="23"/>
      <c r="B29" s="35"/>
      <c r="C29" s="36" t="s">
        <v>293</v>
      </c>
      <c r="D29" s="300">
        <f>D26*(IF(D27=60,0.75,IF(D27=90,0.55,1)))</f>
        <v>0</v>
      </c>
      <c r="E29" s="300">
        <f>E26*(IF(E27=60,0.85,IF(E27=90,0.65,1)))</f>
        <v>0</v>
      </c>
      <c r="F29" s="300">
        <f>F26*(IF(F27=60,0.75,IF(F27=90,0.55,1)))</f>
        <v>0</v>
      </c>
      <c r="G29" s="36" t="s">
        <v>1</v>
      </c>
      <c r="H29" s="17"/>
      <c r="I29" s="40"/>
      <c r="J29" s="50"/>
      <c r="K29" s="53" t="s">
        <v>293</v>
      </c>
      <c r="L29" s="300">
        <f>L26*(IF(L27=60,0.75,IF(L27=90,0.55,1)))</f>
        <v>0</v>
      </c>
      <c r="M29" s="300">
        <f>M26*(IF(M27=60,0.85,IF(M27=90,0.65,1)))</f>
        <v>0</v>
      </c>
      <c r="N29" s="300">
        <f>N26*(IF(N27=60,0.75,IF(N27=90,0.55,1)))</f>
        <v>0</v>
      </c>
      <c r="O29" s="53" t="s">
        <v>15</v>
      </c>
      <c r="P29" s="49"/>
      <c r="Q29" s="59"/>
      <c r="R29" s="23"/>
      <c r="S29" s="139"/>
      <c r="AJ29">
        <v>60</v>
      </c>
      <c r="AZ29" s="310"/>
    </row>
    <row r="30" spans="1:52" ht="15" customHeight="1" thickBot="1">
      <c r="A30" s="23"/>
      <c r="B30" s="35"/>
      <c r="C30" s="17" t="s">
        <v>14</v>
      </c>
      <c r="D30" s="229">
        <f>(D22*D28)+(D25*D29)</f>
        <v>0</v>
      </c>
      <c r="E30" s="17">
        <f>(E22*E28)+(E25*E29)</f>
        <v>0</v>
      </c>
      <c r="F30" s="229">
        <f>(F22*F28)+(F25*F29)</f>
        <v>0</v>
      </c>
      <c r="G30" s="17" t="s">
        <v>2</v>
      </c>
      <c r="H30" s="17"/>
      <c r="I30" s="42"/>
      <c r="J30" s="50"/>
      <c r="K30" s="49" t="s">
        <v>14</v>
      </c>
      <c r="L30" s="214">
        <f>(L31*L28)+(L32*L29)</f>
        <v>0</v>
      </c>
      <c r="M30" s="214">
        <f>(M31*M28)+(M32*M29)</f>
        <v>0</v>
      </c>
      <c r="N30" s="214">
        <f>(N31*N28)+(N32*N29)</f>
        <v>0</v>
      </c>
      <c r="O30" s="49" t="s">
        <v>2</v>
      </c>
      <c r="P30" s="49"/>
      <c r="Q30" s="59"/>
      <c r="R30" s="23"/>
      <c r="S30" s="139"/>
      <c r="AJ30">
        <v>90</v>
      </c>
      <c r="AO30" s="134" t="s">
        <v>126</v>
      </c>
      <c r="AP30" s="89"/>
      <c r="AQ30" s="89"/>
      <c r="AR30" s="89"/>
      <c r="AS30" s="89"/>
      <c r="AT30" s="121"/>
      <c r="AZ30" s="84"/>
    </row>
    <row r="31" spans="1:52" ht="15" customHeight="1" thickBot="1">
      <c r="A31" s="23"/>
      <c r="B31" s="35"/>
      <c r="C31" s="17" t="s">
        <v>211</v>
      </c>
      <c r="D31" s="302" t="s">
        <v>232</v>
      </c>
      <c r="E31" s="17" t="s">
        <v>212</v>
      </c>
      <c r="F31" s="290"/>
      <c r="G31" s="290"/>
      <c r="H31" s="17"/>
      <c r="I31" s="42"/>
      <c r="J31" s="50"/>
      <c r="K31" s="50"/>
      <c r="L31" s="272">
        <f>L22/8</f>
        <v>0</v>
      </c>
      <c r="M31" s="272">
        <f>M22/8</f>
        <v>0</v>
      </c>
      <c r="N31" s="272">
        <f>N22/8</f>
        <v>0</v>
      </c>
      <c r="O31" s="272"/>
      <c r="P31" s="272"/>
      <c r="Q31" s="59"/>
      <c r="R31" s="23"/>
      <c r="S31" s="139"/>
      <c r="AO31" s="122"/>
      <c r="AP31" s="118"/>
      <c r="AQ31" s="118"/>
      <c r="AR31" s="118"/>
      <c r="AS31" s="118"/>
      <c r="AT31" s="123"/>
      <c r="AW31" s="360" t="s">
        <v>57</v>
      </c>
      <c r="AX31" s="361"/>
      <c r="AY31" s="361"/>
      <c r="AZ31" s="74" t="s">
        <v>56</v>
      </c>
    </row>
    <row r="32" spans="1:52" ht="15" customHeight="1" thickBot="1">
      <c r="A32" s="23"/>
      <c r="B32" s="32"/>
      <c r="C32" s="36" t="s">
        <v>233</v>
      </c>
      <c r="D32" s="274">
        <f>(D22+E22+F22+D25+E25+F25)*75</f>
        <v>0</v>
      </c>
      <c r="E32" s="36" t="s">
        <v>234</v>
      </c>
      <c r="F32" s="274"/>
      <c r="G32" s="274"/>
      <c r="H32" s="36"/>
      <c r="I32" s="41"/>
      <c r="J32" s="273"/>
      <c r="K32" s="51"/>
      <c r="L32" s="261">
        <f>L25/8</f>
        <v>0</v>
      </c>
      <c r="M32" s="261">
        <f>M25/8</f>
        <v>0</v>
      </c>
      <c r="N32" s="261">
        <f>N25/8</f>
        <v>0</v>
      </c>
      <c r="O32" s="51"/>
      <c r="P32" s="261"/>
      <c r="Q32" s="60"/>
      <c r="R32" s="23"/>
      <c r="S32" s="139"/>
      <c r="AO32" s="122"/>
      <c r="AP32" s="118"/>
      <c r="AQ32" s="118"/>
      <c r="AR32" s="118"/>
      <c r="AS32" s="118"/>
      <c r="AT32" s="123"/>
      <c r="AW32" s="268"/>
      <c r="AX32" s="269"/>
      <c r="AY32" s="269"/>
      <c r="AZ32" s="74"/>
    </row>
    <row r="33" spans="1:52" ht="15" customHeight="1">
      <c r="A33" s="23"/>
      <c r="B33" s="34" t="s">
        <v>175</v>
      </c>
      <c r="C33" s="18"/>
      <c r="D33" s="18"/>
      <c r="E33" s="18"/>
      <c r="F33" s="18"/>
      <c r="G33" s="18"/>
      <c r="H33" s="18"/>
      <c r="I33" s="42"/>
      <c r="J33" s="52" t="s">
        <v>38</v>
      </c>
      <c r="K33" s="50"/>
      <c r="L33" s="50"/>
      <c r="M33" s="50"/>
      <c r="N33" s="50"/>
      <c r="O33" s="50"/>
      <c r="P33" s="50"/>
      <c r="Q33" s="59"/>
      <c r="R33" s="23"/>
      <c r="S33" s="139"/>
      <c r="AJ33" s="297" t="s">
        <v>289</v>
      </c>
      <c r="AO33" s="122"/>
      <c r="AP33" s="127"/>
      <c r="AQ33" s="319" t="s">
        <v>80</v>
      </c>
      <c r="AR33" s="319"/>
      <c r="AS33" s="319"/>
      <c r="AT33" s="123"/>
      <c r="AW33" s="362" t="s">
        <v>50</v>
      </c>
      <c r="AX33" s="363"/>
      <c r="AY33" s="363"/>
      <c r="AZ33" s="75">
        <v>4</v>
      </c>
    </row>
    <row r="34" spans="1:52" ht="15" customHeight="1">
      <c r="A34" s="23"/>
      <c r="B34" s="266">
        <f>IF(D31="J",(D35/(D18*1.3)),0)</f>
        <v>0</v>
      </c>
      <c r="C34" s="17" t="s">
        <v>206</v>
      </c>
      <c r="D34" s="213">
        <f>D19*1.3</f>
        <v>6337.5</v>
      </c>
      <c r="E34" s="17" t="s">
        <v>2</v>
      </c>
      <c r="F34" s="213"/>
      <c r="G34" s="213"/>
      <c r="H34" s="17"/>
      <c r="I34" s="40"/>
      <c r="J34" s="50"/>
      <c r="K34" s="49" t="s">
        <v>18</v>
      </c>
      <c r="L34" s="214">
        <f>L17</f>
        <v>3250</v>
      </c>
      <c r="M34" s="49" t="s">
        <v>2</v>
      </c>
      <c r="N34" s="214"/>
      <c r="O34" s="214"/>
      <c r="P34" s="49"/>
      <c r="Q34" s="59"/>
      <c r="R34" s="23"/>
      <c r="S34" s="139"/>
      <c r="AJ34" s="297" t="s">
        <v>257</v>
      </c>
      <c r="AO34" s="122"/>
      <c r="AP34" s="127"/>
      <c r="AQ34" s="132" t="s">
        <v>81</v>
      </c>
      <c r="AR34" s="129">
        <v>2.35</v>
      </c>
      <c r="AS34" s="128">
        <v>430</v>
      </c>
      <c r="AT34" s="123"/>
      <c r="AW34" s="356" t="s">
        <v>51</v>
      </c>
      <c r="AX34" s="357"/>
      <c r="AY34" s="357"/>
      <c r="AZ34" s="76">
        <v>3</v>
      </c>
    </row>
    <row r="35" spans="1:52" ht="15" customHeight="1" thickBot="1">
      <c r="A35" s="23"/>
      <c r="B35" s="266">
        <f>IF(D31="N",(D35/D34),0)</f>
        <v>0</v>
      </c>
      <c r="C35" s="37" t="s">
        <v>17</v>
      </c>
      <c r="D35" s="232">
        <f>D30+E30+F30</f>
        <v>0</v>
      </c>
      <c r="E35" s="36" t="s">
        <v>2</v>
      </c>
      <c r="F35" s="213"/>
      <c r="G35" s="213"/>
      <c r="H35" s="17"/>
      <c r="I35" s="40"/>
      <c r="J35" s="50"/>
      <c r="K35" s="54" t="s">
        <v>17</v>
      </c>
      <c r="L35" s="233">
        <f>L30+M30+N30</f>
        <v>0</v>
      </c>
      <c r="M35" s="53" t="s">
        <v>2</v>
      </c>
      <c r="N35" s="233"/>
      <c r="O35" s="233"/>
      <c r="P35" s="53"/>
      <c r="Q35" s="59"/>
      <c r="R35" s="23"/>
      <c r="S35" s="139"/>
      <c r="AO35" s="122"/>
      <c r="AP35" s="127"/>
      <c r="AQ35" s="133" t="s">
        <v>82</v>
      </c>
      <c r="AR35" s="131">
        <v>1.86</v>
      </c>
      <c r="AS35" s="130">
        <v>446</v>
      </c>
      <c r="AT35" s="123"/>
      <c r="AW35" s="358" t="s">
        <v>52</v>
      </c>
      <c r="AX35" s="359"/>
      <c r="AY35" s="359"/>
      <c r="AZ35" s="77">
        <v>3.5</v>
      </c>
    </row>
    <row r="36" spans="1:52" ht="15" customHeight="1" thickBot="1">
      <c r="A36" s="23"/>
      <c r="B36" s="266">
        <f>IF(B34&gt;0.7,0.7,B34)</f>
        <v>0</v>
      </c>
      <c r="C36" s="30" t="str">
        <f>IF(D36&lt;0,"Überschuss","restlicher Wärmebedarf")</f>
        <v>restlicher Wärmebedarf</v>
      </c>
      <c r="D36" s="213">
        <f>D34-D35</f>
        <v>6337.5</v>
      </c>
      <c r="E36" s="17" t="s">
        <v>2</v>
      </c>
      <c r="F36" s="213"/>
      <c r="G36" s="213"/>
      <c r="H36" s="17"/>
      <c r="I36" s="40"/>
      <c r="J36" s="50"/>
      <c r="K36" s="159" t="str">
        <f>IF(L36&lt;0,"Überschuss","restlicher Strombedarf")</f>
        <v>restlicher Strombedarf</v>
      </c>
      <c r="L36" s="214">
        <f>L34-L35</f>
        <v>3250</v>
      </c>
      <c r="M36" s="49" t="s">
        <v>2</v>
      </c>
      <c r="N36" s="214"/>
      <c r="O36" s="214"/>
      <c r="P36" s="49"/>
      <c r="Q36" s="59"/>
      <c r="R36" s="23"/>
      <c r="S36" s="139"/>
      <c r="AJ36" s="309">
        <v>60</v>
      </c>
      <c r="AO36" s="122"/>
      <c r="AP36" s="127"/>
      <c r="AQ36" s="132" t="s">
        <v>127</v>
      </c>
      <c r="AR36" s="129">
        <v>1.12</v>
      </c>
      <c r="AS36" s="128">
        <v>256</v>
      </c>
      <c r="AT36" s="123"/>
      <c r="AW36" s="80"/>
      <c r="AX36" s="80"/>
      <c r="AY36" s="80"/>
      <c r="AZ36" s="85"/>
    </row>
    <row r="37" spans="1:52" ht="15" customHeight="1" thickBot="1">
      <c r="A37" s="23"/>
      <c r="B37" s="267">
        <f>IF(B35&gt;0.5,0.5,B35)</f>
        <v>0</v>
      </c>
      <c r="C37" s="36" t="str">
        <f>IF(D31="J","Solarer Deckungsgrad WW","Solarer Deckungsgrad")</f>
        <v>Solarer Deckungsgrad</v>
      </c>
      <c r="D37" s="254">
        <f>IF(D31="J",B36,IF(D31="N",B37,0))</f>
        <v>0</v>
      </c>
      <c r="E37" s="260">
        <f>IF(D37&gt;0,1,0)</f>
        <v>0</v>
      </c>
      <c r="F37" s="254"/>
      <c r="G37" s="254"/>
      <c r="H37" s="260"/>
      <c r="I37" s="41"/>
      <c r="J37" s="51"/>
      <c r="K37" s="53" t="s">
        <v>204</v>
      </c>
      <c r="L37" s="255">
        <f>IF(L40="",L35/L34,L35/(L34+L40))</f>
        <v>0</v>
      </c>
      <c r="M37" s="261">
        <f>IF(L37&gt;0,1,0)</f>
        <v>0</v>
      </c>
      <c r="N37" s="255"/>
      <c r="O37" s="255"/>
      <c r="P37" s="261"/>
      <c r="Q37" s="60"/>
      <c r="R37" s="23"/>
      <c r="S37" s="139"/>
      <c r="AJ37">
        <v>90</v>
      </c>
      <c r="AO37" s="122"/>
      <c r="AP37" s="127"/>
      <c r="AQ37" s="132" t="s">
        <v>83</v>
      </c>
      <c r="AR37" s="129">
        <v>0.4</v>
      </c>
      <c r="AS37" s="128">
        <v>130</v>
      </c>
      <c r="AT37" s="123"/>
      <c r="AW37" s="360" t="s">
        <v>58</v>
      </c>
      <c r="AX37" s="361"/>
      <c r="AY37" s="361"/>
      <c r="AZ37" s="86" t="s">
        <v>56</v>
      </c>
    </row>
    <row r="38" spans="1:52" ht="15" customHeight="1">
      <c r="A38" s="23"/>
      <c r="B38" s="34" t="s">
        <v>19</v>
      </c>
      <c r="C38" s="18"/>
      <c r="D38" s="405" t="s">
        <v>48</v>
      </c>
      <c r="E38" s="406"/>
      <c r="F38" s="291"/>
      <c r="G38" s="291"/>
      <c r="H38" s="291"/>
      <c r="I38" s="42"/>
      <c r="J38" s="52" t="s">
        <v>42</v>
      </c>
      <c r="K38" s="50"/>
      <c r="L38" s="50"/>
      <c r="M38" s="407" t="s">
        <v>39</v>
      </c>
      <c r="N38" s="408"/>
      <c r="O38" s="50"/>
      <c r="P38" s="292"/>
      <c r="Q38" s="59"/>
      <c r="R38" s="23"/>
      <c r="S38" s="139"/>
      <c r="AO38" s="122"/>
      <c r="AP38" s="127"/>
      <c r="AQ38" s="132" t="s">
        <v>84</v>
      </c>
      <c r="AR38" s="129">
        <v>0.04</v>
      </c>
      <c r="AS38" s="128">
        <v>20</v>
      </c>
      <c r="AT38" s="123"/>
      <c r="AW38" s="362" t="s">
        <v>50</v>
      </c>
      <c r="AX38" s="363"/>
      <c r="AY38" s="363"/>
      <c r="AZ38" s="82">
        <v>4.2</v>
      </c>
    </row>
    <row r="39" spans="1:52" ht="15" customHeight="1">
      <c r="A39" s="23"/>
      <c r="B39" s="35"/>
      <c r="C39" s="17" t="str">
        <f>IF(D38="Wärmepumpe","Leistungszahl","Jahresnutzungsgrad")</f>
        <v>Jahresnutzungsgrad</v>
      </c>
      <c r="D39" s="17">
        <f>IF(D30&gt;0,VLOOKUP(D38,AK6:AM14,2,FALSE),VLOOKUP(D38,AK6:AM14,3,FALSE))</f>
        <v>0.75</v>
      </c>
      <c r="E39" s="17"/>
      <c r="F39" s="17"/>
      <c r="G39" s="17"/>
      <c r="H39" s="18"/>
      <c r="I39" s="42"/>
      <c r="J39" s="50"/>
      <c r="K39" s="50"/>
      <c r="L39" s="50"/>
      <c r="M39" s="50"/>
      <c r="N39" s="50"/>
      <c r="O39" s="50"/>
      <c r="P39" s="50"/>
      <c r="Q39" s="59"/>
      <c r="R39" s="23"/>
      <c r="S39" s="139"/>
      <c r="AO39" s="122"/>
      <c r="AP39" s="127"/>
      <c r="AQ39" s="128"/>
      <c r="AR39" s="128"/>
      <c r="AS39" s="128"/>
      <c r="AT39" s="123"/>
      <c r="AW39" s="356" t="s">
        <v>51</v>
      </c>
      <c r="AX39" s="357"/>
      <c r="AY39" s="357"/>
      <c r="AZ39" s="76">
        <v>3</v>
      </c>
    </row>
    <row r="40" spans="1:52" ht="15" customHeight="1" thickBot="1">
      <c r="A40" s="23"/>
      <c r="B40" s="35"/>
      <c r="C40" s="17" t="s">
        <v>21</v>
      </c>
      <c r="D40" s="17">
        <f>VLOOKUP($D$38,$AK$6:$AN$14,4,FALSE)</f>
        <v>10.57</v>
      </c>
      <c r="E40" s="17" t="str">
        <f>VLOOKUP($D$38,$AK$6:$AO$14,5,FALSE)</f>
        <v>kWh/l</v>
      </c>
      <c r="F40" s="17"/>
      <c r="G40" s="17"/>
      <c r="H40" s="17"/>
      <c r="I40" s="40"/>
      <c r="J40" s="50"/>
      <c r="K40" s="49">
        <f>IF(OR(D38=AK10,D38=AK11,D38=AK12,D38=AK13),"Strombedarf Heizsystem","")</f>
      </c>
      <c r="L40" s="61">
        <f>IF(K40&lt;&gt;"",(D36/D39),"")</f>
      </c>
      <c r="M40" s="61">
        <f>IF(K40&lt;&gt;"","kWh/a","")</f>
      </c>
      <c r="N40" s="61"/>
      <c r="O40" s="61"/>
      <c r="P40" s="49"/>
      <c r="Q40" s="59"/>
      <c r="R40" s="23"/>
      <c r="S40" s="139"/>
      <c r="AO40" s="124"/>
      <c r="AP40" s="125"/>
      <c r="AQ40" s="125"/>
      <c r="AR40" s="125"/>
      <c r="AS40" s="125"/>
      <c r="AT40" s="126"/>
      <c r="AW40" s="358" t="s">
        <v>52</v>
      </c>
      <c r="AX40" s="359"/>
      <c r="AY40" s="359"/>
      <c r="AZ40" s="77">
        <v>4</v>
      </c>
    </row>
    <row r="41" spans="1:52" ht="15" customHeight="1" thickBot="1">
      <c r="A41" s="23"/>
      <c r="B41" s="35"/>
      <c r="C41" s="17"/>
      <c r="D41" s="17"/>
      <c r="E41" s="17"/>
      <c r="F41" s="17"/>
      <c r="G41" s="17"/>
      <c r="H41" s="17"/>
      <c r="I41" s="40"/>
      <c r="J41" s="50"/>
      <c r="K41" s="50"/>
      <c r="L41" s="142">
        <f>IF(L40&lt;&gt;"",L36+L40,L36)</f>
        <v>3250</v>
      </c>
      <c r="M41" s="142"/>
      <c r="N41" s="142"/>
      <c r="O41" s="142"/>
      <c r="P41" s="50"/>
      <c r="Q41" s="59"/>
      <c r="R41" s="23"/>
      <c r="S41" s="139"/>
      <c r="AW41" s="80"/>
      <c r="AX41" s="80"/>
      <c r="AY41" s="80"/>
      <c r="AZ41" s="87"/>
    </row>
    <row r="42" spans="1:52" ht="15" customHeight="1" thickBot="1">
      <c r="A42" s="23"/>
      <c r="B42" s="419" t="s">
        <v>25</v>
      </c>
      <c r="C42" s="420"/>
      <c r="D42" s="46">
        <f>IF(D36&lt;0,0,IF(OR(D38=AK10,D38=AK11,D38=AK12,D38=AK13),0,(D36/D39)))</f>
        <v>8450</v>
      </c>
      <c r="E42" s="46" t="str">
        <f>IF(OR(D38=AK10,D38=AK11,D38=AK12,D38=AK13),"Siehe Strom!","kWh")</f>
        <v>kWh</v>
      </c>
      <c r="F42" s="46"/>
      <c r="G42" s="46"/>
      <c r="H42" s="17"/>
      <c r="I42" s="40"/>
      <c r="J42" s="395" t="s">
        <v>25</v>
      </c>
      <c r="K42" s="395"/>
      <c r="L42" s="62">
        <f>IF(L41&lt;0,0,L41)</f>
        <v>3250</v>
      </c>
      <c r="M42" s="62" t="str">
        <f>M36</f>
        <v>kWh/a</v>
      </c>
      <c r="N42" s="62"/>
      <c r="O42" s="62"/>
      <c r="P42" s="49"/>
      <c r="Q42" s="59"/>
      <c r="R42" s="23"/>
      <c r="S42" s="139"/>
      <c r="AO42" s="276" t="s">
        <v>235</v>
      </c>
      <c r="AP42" s="89"/>
      <c r="AQ42" s="89"/>
      <c r="AR42" s="89"/>
      <c r="AS42" s="89"/>
      <c r="AT42" s="121"/>
      <c r="AW42" s="364" t="s">
        <v>59</v>
      </c>
      <c r="AX42" s="365"/>
      <c r="AY42" s="366"/>
      <c r="AZ42" s="88" t="s">
        <v>56</v>
      </c>
    </row>
    <row r="43" spans="1:52" ht="15" customHeight="1">
      <c r="A43" s="23"/>
      <c r="B43" s="419"/>
      <c r="C43" s="420"/>
      <c r="D43" s="46">
        <f>D42/D40</f>
        <v>799.4323557237465</v>
      </c>
      <c r="E43" s="46" t="str">
        <f>VLOOKUP($D$38,$AK$6:$AP$14,6,FALSE)</f>
        <v>l Öl/a</v>
      </c>
      <c r="F43" s="46"/>
      <c r="G43" s="46"/>
      <c r="H43" s="17"/>
      <c r="I43" s="40"/>
      <c r="J43" s="395"/>
      <c r="K43" s="395"/>
      <c r="L43" s="50"/>
      <c r="M43" s="50"/>
      <c r="N43" s="50"/>
      <c r="O43" s="50"/>
      <c r="P43" s="50"/>
      <c r="Q43" s="59"/>
      <c r="R43" s="23"/>
      <c r="S43" s="139"/>
      <c r="AO43" s="122"/>
      <c r="AP43" s="118"/>
      <c r="AQ43" s="279"/>
      <c r="AR43" s="280" t="s">
        <v>238</v>
      </c>
      <c r="AS43" s="280" t="s">
        <v>239</v>
      </c>
      <c r="AT43" s="123"/>
      <c r="AW43" s="367" t="s">
        <v>50</v>
      </c>
      <c r="AX43" s="368"/>
      <c r="AY43" s="369"/>
      <c r="AZ43" s="82">
        <v>2.8</v>
      </c>
    </row>
    <row r="44" spans="1:52" ht="15" customHeight="1">
      <c r="A44" s="23"/>
      <c r="B44" s="35"/>
      <c r="C44" s="38">
        <f>IF(D36&lt;0,"Überschuss:","")</f>
      </c>
      <c r="D44" s="47">
        <f>IF(D36&lt;0,D36*-1,"")</f>
      </c>
      <c r="E44" s="47">
        <f>IF(D44&lt;&gt;"",H42,"")</f>
      </c>
      <c r="F44" s="47"/>
      <c r="G44" s="47"/>
      <c r="H44" s="17"/>
      <c r="I44" s="42"/>
      <c r="J44" s="50"/>
      <c r="K44" s="55">
        <f>IF(L41&lt;0,"Überschuss:","")</f>
      </c>
      <c r="L44" s="62">
        <f>IF(L41&lt;0,L41*-1,"")</f>
      </c>
      <c r="M44" s="62">
        <f>IF(L44&lt;&gt;"",P42,"")</f>
      </c>
      <c r="N44" s="62"/>
      <c r="O44" s="62"/>
      <c r="P44" s="49"/>
      <c r="Q44" s="59"/>
      <c r="R44" s="23"/>
      <c r="S44" s="139"/>
      <c r="AO44" s="122"/>
      <c r="AP44" s="118"/>
      <c r="AQ44" s="279" t="s">
        <v>236</v>
      </c>
      <c r="AR44" s="279">
        <v>1.46</v>
      </c>
      <c r="AS44" s="279">
        <v>337</v>
      </c>
      <c r="AT44" s="123"/>
      <c r="AW44" s="370" t="s">
        <v>51</v>
      </c>
      <c r="AX44" s="371"/>
      <c r="AY44" s="372"/>
      <c r="AZ44" s="76">
        <v>3</v>
      </c>
    </row>
    <row r="45" spans="1:52" ht="15" customHeight="1" thickBot="1">
      <c r="A45" s="23"/>
      <c r="B45" s="396" t="s">
        <v>282</v>
      </c>
      <c r="C45" s="28" t="s">
        <v>8</v>
      </c>
      <c r="D45" s="234">
        <f>IF(D44="",VLOOKUP($D$38,$AK$6:$AQ$14,7,FALSE),AQ7)</f>
        <v>311</v>
      </c>
      <c r="E45" s="234" t="str">
        <f>VLOOKUP($D$38,$AK$6:$AR$14,8,FALSE)</f>
        <v>g/kWh</v>
      </c>
      <c r="F45" s="234"/>
      <c r="G45" s="234"/>
      <c r="H45" s="28"/>
      <c r="I45" s="43"/>
      <c r="J45" s="399" t="s">
        <v>282</v>
      </c>
      <c r="K45" s="56" t="s">
        <v>8</v>
      </c>
      <c r="L45" s="235">
        <f>IF(L44="",VLOOKUP($M$38,$BA$70:$BD$74,4,FALSE),BD73)</f>
        <v>7</v>
      </c>
      <c r="M45" s="56" t="str">
        <f>E45</f>
        <v>g/kWh</v>
      </c>
      <c r="N45" s="235"/>
      <c r="O45" s="235"/>
      <c r="P45" s="56"/>
      <c r="Q45" s="58"/>
      <c r="R45" s="23"/>
      <c r="S45" s="139"/>
      <c r="AO45" s="122"/>
      <c r="AP45" s="118"/>
      <c r="AQ45" s="279" t="s">
        <v>74</v>
      </c>
      <c r="AR45" s="279">
        <v>1.17</v>
      </c>
      <c r="AS45" s="279">
        <v>236</v>
      </c>
      <c r="AT45" s="123"/>
      <c r="AW45" s="358" t="s">
        <v>52</v>
      </c>
      <c r="AX45" s="359"/>
      <c r="AY45" s="359"/>
      <c r="AZ45" s="77">
        <v>2.8</v>
      </c>
    </row>
    <row r="46" spans="1:46" ht="15" customHeight="1">
      <c r="A46" s="23"/>
      <c r="B46" s="397"/>
      <c r="C46" s="36" t="s">
        <v>43</v>
      </c>
      <c r="D46" s="215">
        <f>IF(D42&gt;0,D42*D45/1000,IF(D44&lt;&gt;"",-D44*AQ7/1000,0))</f>
        <v>2627.95</v>
      </c>
      <c r="E46" s="36" t="s">
        <v>34</v>
      </c>
      <c r="F46" s="215"/>
      <c r="G46" s="215"/>
      <c r="H46" s="36"/>
      <c r="I46" s="44"/>
      <c r="J46" s="400"/>
      <c r="K46" s="53" t="s">
        <v>43</v>
      </c>
      <c r="L46" s="217">
        <f>IF(L42&gt;0,L42*L45/1000,IF(L44&lt;&gt;"",-L44*L45/1000,0))</f>
        <v>22.75</v>
      </c>
      <c r="M46" s="53" t="str">
        <f>E46</f>
        <v>kg/a</v>
      </c>
      <c r="N46" s="217"/>
      <c r="O46" s="217"/>
      <c r="P46" s="53"/>
      <c r="Q46" s="60"/>
      <c r="R46" s="23"/>
      <c r="S46" s="139"/>
      <c r="AO46" s="122"/>
      <c r="AP46" s="118"/>
      <c r="AQ46" s="279" t="s">
        <v>73</v>
      </c>
      <c r="AR46" s="279">
        <v>1.23</v>
      </c>
      <c r="AS46" s="279">
        <v>311</v>
      </c>
      <c r="AT46" s="123"/>
    </row>
    <row r="47" spans="1:46" ht="15" customHeight="1">
      <c r="A47" s="23"/>
      <c r="B47" s="35"/>
      <c r="C47" s="18"/>
      <c r="D47" s="18"/>
      <c r="E47" s="18"/>
      <c r="F47" s="18"/>
      <c r="G47" s="18"/>
      <c r="H47" s="17"/>
      <c r="I47" s="40"/>
      <c r="J47" s="50"/>
      <c r="K47" s="50"/>
      <c r="L47" s="50"/>
      <c r="M47" s="50"/>
      <c r="N47" s="50"/>
      <c r="O47" s="50"/>
      <c r="P47" s="50"/>
      <c r="Q47" s="59"/>
      <c r="R47" s="23"/>
      <c r="S47" s="139"/>
      <c r="AO47" s="122"/>
      <c r="AP47" s="118"/>
      <c r="AQ47" s="279" t="s">
        <v>85</v>
      </c>
      <c r="AR47" s="279">
        <v>0.92</v>
      </c>
      <c r="AS47" s="279">
        <v>73</v>
      </c>
      <c r="AT47" s="123"/>
    </row>
    <row r="48" spans="1:46" ht="15" customHeight="1">
      <c r="A48" s="23"/>
      <c r="B48" s="396" t="s">
        <v>44</v>
      </c>
      <c r="C48" s="28" t="s">
        <v>29</v>
      </c>
      <c r="D48" s="234">
        <f>IF(D44="",VLOOKUP($D$38,$AK$6:$AT$14,10,FALSE),AS7)</f>
        <v>1.23</v>
      </c>
      <c r="E48" s="28" t="s">
        <v>45</v>
      </c>
      <c r="F48" s="234"/>
      <c r="G48" s="234"/>
      <c r="H48" s="28"/>
      <c r="I48" s="43"/>
      <c r="J48" s="399" t="s">
        <v>44</v>
      </c>
      <c r="K48" s="56" t="s">
        <v>29</v>
      </c>
      <c r="L48" s="235">
        <f>IF(L44="",VLOOKUP($M$38,$BA$70:$BC$74,3,FALSE),BC73)</f>
        <v>1.5</v>
      </c>
      <c r="M48" s="56" t="s">
        <v>45</v>
      </c>
      <c r="N48" s="235"/>
      <c r="O48" s="235"/>
      <c r="P48" s="56"/>
      <c r="Q48" s="58"/>
      <c r="R48" s="23"/>
      <c r="S48" s="139"/>
      <c r="AO48" s="122"/>
      <c r="AP48" s="118"/>
      <c r="AQ48" s="279" t="s">
        <v>237</v>
      </c>
      <c r="AR48" s="279">
        <v>1.08</v>
      </c>
      <c r="AS48" s="279">
        <v>4</v>
      </c>
      <c r="AT48" s="123"/>
    </row>
    <row r="49" spans="1:46" ht="13.5" customHeight="1" thickBot="1">
      <c r="A49" s="23"/>
      <c r="B49" s="398"/>
      <c r="C49" s="39" t="s">
        <v>35</v>
      </c>
      <c r="D49" s="216">
        <f>IF(D42&gt;0,D42*D48,IF(D44&lt;&gt;"",-D44*AS7,0))</f>
        <v>10393.5</v>
      </c>
      <c r="E49" s="39" t="s">
        <v>2</v>
      </c>
      <c r="F49" s="216"/>
      <c r="G49" s="216"/>
      <c r="H49" s="39"/>
      <c r="I49" s="45"/>
      <c r="J49" s="401"/>
      <c r="K49" s="57" t="s">
        <v>35</v>
      </c>
      <c r="L49" s="218">
        <f>IF(L42&gt;0,L42*L48,IF(L44&lt;&gt;"",-L44*L48,0))</f>
        <v>4875</v>
      </c>
      <c r="M49" s="57" t="s">
        <v>2</v>
      </c>
      <c r="N49" s="218"/>
      <c r="O49" s="218"/>
      <c r="P49" s="57"/>
      <c r="Q49" s="63"/>
      <c r="R49" s="23"/>
      <c r="S49" s="139"/>
      <c r="AO49" s="124"/>
      <c r="AP49" s="125"/>
      <c r="AQ49" s="281" t="s">
        <v>164</v>
      </c>
      <c r="AR49" s="281">
        <v>2.62</v>
      </c>
      <c r="AS49" s="281">
        <v>417</v>
      </c>
      <c r="AT49" s="126"/>
    </row>
    <row r="50" spans="1:51" ht="7.5" customHeight="1">
      <c r="A50" s="23"/>
      <c r="B50" s="70"/>
      <c r="C50" s="66"/>
      <c r="D50" s="421"/>
      <c r="E50" s="421"/>
      <c r="F50" s="421"/>
      <c r="G50" s="421"/>
      <c r="H50" s="421"/>
      <c r="I50" s="421"/>
      <c r="J50" s="421"/>
      <c r="K50" s="422"/>
      <c r="L50" s="421"/>
      <c r="M50" s="421"/>
      <c r="N50" s="421"/>
      <c r="O50" s="421"/>
      <c r="P50" s="421"/>
      <c r="Q50" s="67"/>
      <c r="R50" s="23"/>
      <c r="S50" s="139"/>
      <c r="AW50" s="352" t="s">
        <v>47</v>
      </c>
      <c r="AX50" s="352"/>
      <c r="AY50" s="352"/>
    </row>
    <row r="51" spans="1:51" ht="15.75" customHeight="1">
      <c r="A51" s="23"/>
      <c r="B51" s="112"/>
      <c r="C51" s="68"/>
      <c r="D51" s="354" t="s">
        <v>111</v>
      </c>
      <c r="E51" s="354"/>
      <c r="F51" s="354"/>
      <c r="G51" s="354"/>
      <c r="H51" s="354"/>
      <c r="I51" s="354"/>
      <c r="J51" s="354"/>
      <c r="K51" s="355"/>
      <c r="L51" s="354"/>
      <c r="M51" s="354"/>
      <c r="N51" s="354"/>
      <c r="O51" s="354"/>
      <c r="P51" s="354"/>
      <c r="Q51" s="69"/>
      <c r="R51" s="23"/>
      <c r="S51" s="139"/>
      <c r="AW51" s="352"/>
      <c r="AX51" s="352"/>
      <c r="AY51" s="352"/>
    </row>
    <row r="52" spans="1:19" ht="16.5" customHeight="1">
      <c r="A52" s="23"/>
      <c r="B52" s="112"/>
      <c r="C52" s="68"/>
      <c r="D52" s="68"/>
      <c r="E52" s="68"/>
      <c r="F52" s="68"/>
      <c r="G52" s="68"/>
      <c r="H52" s="68"/>
      <c r="I52" s="68"/>
      <c r="J52" s="68"/>
      <c r="K52" s="68"/>
      <c r="L52" s="68"/>
      <c r="M52" s="68"/>
      <c r="N52" s="68"/>
      <c r="O52" s="68"/>
      <c r="P52" s="68"/>
      <c r="Q52" s="69"/>
      <c r="R52" s="23"/>
      <c r="S52" s="139"/>
    </row>
    <row r="53" spans="1:51" ht="18" customHeight="1">
      <c r="A53" s="23"/>
      <c r="B53" s="109" t="s">
        <v>112</v>
      </c>
      <c r="C53" s="283">
        <f>IF(AND($D$44&lt;&gt;"",$L$44&lt;&gt;""),-$D$44*D45/1000-$L$44*L45/1000,IF(AND($D$44="",$L$44&lt;&gt;""),D46-$L$44*L45/1000,IF(AND($D$44&lt;&gt;"",$L$44=""),-$D$44*D45/1000+L46,ROUND(SUM(D46+L46),0))))</f>
        <v>2651</v>
      </c>
      <c r="D53" s="111" t="s">
        <v>34</v>
      </c>
      <c r="E53" s="111"/>
      <c r="F53" s="111"/>
      <c r="G53" s="111"/>
      <c r="H53" s="113"/>
      <c r="I53" s="68"/>
      <c r="J53" s="68"/>
      <c r="K53" s="68"/>
      <c r="L53" s="68"/>
      <c r="M53" s="68"/>
      <c r="N53" s="68"/>
      <c r="O53" s="68"/>
      <c r="P53" s="68"/>
      <c r="Q53" s="69"/>
      <c r="R53" s="23"/>
      <c r="S53" s="139"/>
      <c r="AW53" s="353" t="s">
        <v>200</v>
      </c>
      <c r="AX53" s="353"/>
      <c r="AY53" s="353"/>
    </row>
    <row r="54" spans="1:19" ht="19.5">
      <c r="A54" s="24"/>
      <c r="B54" s="109" t="s">
        <v>114</v>
      </c>
      <c r="C54" s="283">
        <f>C53/D10</f>
        <v>16.313846153846153</v>
      </c>
      <c r="D54" s="111" t="s">
        <v>116</v>
      </c>
      <c r="E54" s="111"/>
      <c r="F54" s="111"/>
      <c r="G54" s="111"/>
      <c r="H54" s="64"/>
      <c r="I54" s="64"/>
      <c r="J54" s="64"/>
      <c r="K54" s="64"/>
      <c r="L54" s="64"/>
      <c r="M54" s="64"/>
      <c r="N54" s="64"/>
      <c r="O54" s="64"/>
      <c r="P54" s="64"/>
      <c r="Q54" s="65"/>
      <c r="R54" s="23"/>
      <c r="S54" s="139"/>
    </row>
    <row r="55" spans="1:19" ht="16.5" customHeight="1">
      <c r="A55" s="23"/>
      <c r="B55" s="109" t="s">
        <v>113</v>
      </c>
      <c r="C55" s="283">
        <f>IF(AND($D$44&lt;&gt;"",$L$44&lt;&gt;""),-$D$44*D48/1000-$L$44*L48/1000,IF(AND($D$44="",$L$44&lt;&gt;""),D49-$L$44*L48/1000,IF(AND($D$44&lt;&gt;"",$L$44=""),-$D$44*D48/1000+L49,ROUND(SUM(D49+L49),0))))</f>
        <v>15269</v>
      </c>
      <c r="D55" s="111" t="s">
        <v>2</v>
      </c>
      <c r="E55" s="111"/>
      <c r="F55" s="111"/>
      <c r="G55" s="111"/>
      <c r="H55" s="108"/>
      <c r="I55" s="68"/>
      <c r="J55" s="68"/>
      <c r="K55" s="68"/>
      <c r="L55" s="68"/>
      <c r="M55" s="68"/>
      <c r="N55" s="68"/>
      <c r="O55" s="68"/>
      <c r="P55" s="68"/>
      <c r="Q55" s="69"/>
      <c r="R55" s="23"/>
      <c r="S55" s="139"/>
    </row>
    <row r="56" spans="1:19" ht="18" customHeight="1">
      <c r="A56" s="24"/>
      <c r="B56" s="109" t="s">
        <v>115</v>
      </c>
      <c r="C56" s="283">
        <f>C55/D10</f>
        <v>93.96307692307693</v>
      </c>
      <c r="D56" s="111" t="s">
        <v>1</v>
      </c>
      <c r="E56" s="111"/>
      <c r="F56" s="111"/>
      <c r="G56" s="111"/>
      <c r="H56" s="108"/>
      <c r="I56" s="64"/>
      <c r="J56" s="64"/>
      <c r="K56" s="64"/>
      <c r="L56" s="64"/>
      <c r="M56" s="64"/>
      <c r="N56" s="64"/>
      <c r="O56" s="64"/>
      <c r="P56" s="409"/>
      <c r="Q56" s="410"/>
      <c r="R56" s="23"/>
      <c r="S56" s="139"/>
    </row>
    <row r="57" spans="1:56" ht="15" customHeight="1" thickBot="1">
      <c r="A57" s="24"/>
      <c r="B57" s="411"/>
      <c r="C57" s="412"/>
      <c r="D57" s="412"/>
      <c r="E57" s="412"/>
      <c r="F57" s="412"/>
      <c r="G57" s="412"/>
      <c r="H57" s="412"/>
      <c r="I57" s="64"/>
      <c r="J57" s="64"/>
      <c r="K57" s="64"/>
      <c r="L57" s="64"/>
      <c r="M57" s="64"/>
      <c r="N57" s="64"/>
      <c r="O57" s="64"/>
      <c r="P57" s="409"/>
      <c r="Q57" s="410"/>
      <c r="R57" s="23"/>
      <c r="S57" s="139"/>
      <c r="AW57" s="245" t="s">
        <v>70</v>
      </c>
      <c r="AX57" s="246" t="s">
        <v>201</v>
      </c>
      <c r="AY57" s="247" t="s">
        <v>67</v>
      </c>
      <c r="BA57" s="120" t="s">
        <v>117</v>
      </c>
      <c r="BB57" s="120">
        <v>1.36</v>
      </c>
      <c r="BC57" s="120">
        <v>1.36</v>
      </c>
      <c r="BD57" s="120">
        <v>277</v>
      </c>
    </row>
    <row r="58" spans="1:56" ht="16.5" customHeight="1" thickBot="1">
      <c r="A58" s="24"/>
      <c r="B58" s="423" t="s">
        <v>281</v>
      </c>
      <c r="C58" s="351"/>
      <c r="D58" s="259">
        <f>D37</f>
        <v>0</v>
      </c>
      <c r="E58" s="301"/>
      <c r="F58" s="425"/>
      <c r="G58" s="426"/>
      <c r="H58" s="426"/>
      <c r="I58" s="64"/>
      <c r="J58" s="64"/>
      <c r="K58" s="64"/>
      <c r="L58" s="64"/>
      <c r="M58" s="64"/>
      <c r="N58" s="64"/>
      <c r="O58" s="64"/>
      <c r="P58" s="71"/>
      <c r="Q58" s="141"/>
      <c r="R58" s="23"/>
      <c r="S58" s="139"/>
      <c r="AW58" s="373" t="s">
        <v>72</v>
      </c>
      <c r="AX58" s="374"/>
      <c r="AY58" s="318"/>
      <c r="BA58" s="120" t="s">
        <v>118</v>
      </c>
      <c r="BB58" s="120">
        <v>1.19</v>
      </c>
      <c r="BC58" s="120">
        <v>1.19</v>
      </c>
      <c r="BD58" s="120">
        <v>394</v>
      </c>
    </row>
    <row r="59" spans="1:56" ht="16.5" customHeight="1">
      <c r="A59" s="24"/>
      <c r="B59" s="423" t="s">
        <v>280</v>
      </c>
      <c r="C59" s="351"/>
      <c r="D59" s="259">
        <f>L37</f>
        <v>0</v>
      </c>
      <c r="E59" s="262"/>
      <c r="F59" s="424"/>
      <c r="G59" s="424"/>
      <c r="H59" s="424"/>
      <c r="I59" s="64"/>
      <c r="J59" s="64"/>
      <c r="K59" s="64"/>
      <c r="L59" s="64"/>
      <c r="M59" s="64"/>
      <c r="N59" s="64"/>
      <c r="O59" s="64"/>
      <c r="P59" s="71"/>
      <c r="Q59" s="141"/>
      <c r="R59" s="23"/>
      <c r="S59" s="139"/>
      <c r="AW59" s="373" t="s">
        <v>72</v>
      </c>
      <c r="AX59" s="374"/>
      <c r="AY59" s="318"/>
      <c r="BA59" s="120" t="s">
        <v>118</v>
      </c>
      <c r="BB59" s="120">
        <v>1.19</v>
      </c>
      <c r="BC59" s="120">
        <v>1.19</v>
      </c>
      <c r="BD59" s="120">
        <v>394</v>
      </c>
    </row>
    <row r="60" spans="1:56" ht="12.75" customHeight="1">
      <c r="A60" s="24"/>
      <c r="B60" s="140"/>
      <c r="C60" s="108"/>
      <c r="D60" s="108"/>
      <c r="E60" s="108"/>
      <c r="F60" s="108"/>
      <c r="G60" s="108"/>
      <c r="H60" s="108"/>
      <c r="I60" s="64"/>
      <c r="J60" s="64"/>
      <c r="K60" s="64"/>
      <c r="L60" s="64"/>
      <c r="M60" s="64"/>
      <c r="N60" s="64"/>
      <c r="O60" s="64"/>
      <c r="P60" s="71"/>
      <c r="Q60" s="141"/>
      <c r="R60" s="23"/>
      <c r="S60" s="139"/>
      <c r="AW60" s="256"/>
      <c r="AX60" s="257"/>
      <c r="AY60" s="258"/>
      <c r="BA60" s="120"/>
      <c r="BB60" s="120"/>
      <c r="BC60" s="120"/>
      <c r="BD60" s="120"/>
    </row>
    <row r="61" spans="1:56" ht="15" customHeight="1">
      <c r="A61" s="24"/>
      <c r="B61" s="140" t="s">
        <v>131</v>
      </c>
      <c r="C61" s="108"/>
      <c r="D61" s="108"/>
      <c r="E61" s="108"/>
      <c r="F61" s="108"/>
      <c r="G61" s="108"/>
      <c r="H61" s="108"/>
      <c r="I61" s="64"/>
      <c r="J61" s="64"/>
      <c r="K61" s="64"/>
      <c r="L61" s="64"/>
      <c r="M61" s="64"/>
      <c r="N61" s="64"/>
      <c r="O61" s="64"/>
      <c r="P61" s="71"/>
      <c r="Q61" s="141"/>
      <c r="R61" s="23"/>
      <c r="S61" s="139"/>
      <c r="AW61" s="256"/>
      <c r="AX61" s="257"/>
      <c r="AY61" s="258"/>
      <c r="BA61" s="120"/>
      <c r="BB61" s="120"/>
      <c r="BC61" s="120"/>
      <c r="BD61" s="120"/>
    </row>
    <row r="62" spans="1:56" ht="12.75" customHeight="1">
      <c r="A62" s="24"/>
      <c r="B62" s="21" t="s">
        <v>242</v>
      </c>
      <c r="C62" s="9"/>
      <c r="D62" s="9"/>
      <c r="E62" s="9"/>
      <c r="F62" s="9"/>
      <c r="G62" s="9"/>
      <c r="H62" s="9"/>
      <c r="I62" s="9"/>
      <c r="J62" s="10"/>
      <c r="K62" s="10"/>
      <c r="L62" s="10"/>
      <c r="M62" s="10"/>
      <c r="N62" s="10"/>
      <c r="O62" s="10"/>
      <c r="P62" s="10"/>
      <c r="Q62" s="11"/>
      <c r="R62" s="23"/>
      <c r="S62" s="139"/>
      <c r="AW62" s="98" t="s">
        <v>73</v>
      </c>
      <c r="AX62" s="248">
        <v>1.13</v>
      </c>
      <c r="AY62" s="249">
        <v>311</v>
      </c>
      <c r="BA62" s="120" t="s">
        <v>76</v>
      </c>
      <c r="BB62" s="120">
        <v>1.4</v>
      </c>
      <c r="BC62" s="120">
        <v>1.4</v>
      </c>
      <c r="BD62" s="120">
        <v>433</v>
      </c>
    </row>
    <row r="63" spans="1:56" ht="12.75" customHeight="1">
      <c r="A63" s="24"/>
      <c r="B63" s="21" t="s">
        <v>194</v>
      </c>
      <c r="C63" s="9"/>
      <c r="D63" s="9"/>
      <c r="E63" s="9"/>
      <c r="F63" s="9"/>
      <c r="G63" s="9"/>
      <c r="H63" s="9"/>
      <c r="I63" s="9"/>
      <c r="J63" s="10"/>
      <c r="K63" s="10"/>
      <c r="L63" s="10"/>
      <c r="M63" s="10"/>
      <c r="N63" s="10"/>
      <c r="O63" s="10"/>
      <c r="P63" s="10"/>
      <c r="Q63" s="11"/>
      <c r="R63" s="23"/>
      <c r="S63" s="139"/>
      <c r="AW63" s="98"/>
      <c r="AX63" s="248"/>
      <c r="AY63" s="249"/>
      <c r="BA63" s="120"/>
      <c r="BB63" s="120"/>
      <c r="BC63" s="120"/>
      <c r="BD63" s="120"/>
    </row>
    <row r="64" spans="1:56" ht="12.75" customHeight="1">
      <c r="A64" s="24"/>
      <c r="B64" s="21" t="s">
        <v>243</v>
      </c>
      <c r="C64" s="9"/>
      <c r="D64" s="9"/>
      <c r="E64" s="9"/>
      <c r="F64" s="9"/>
      <c r="G64" s="9"/>
      <c r="H64" s="9"/>
      <c r="I64" s="9"/>
      <c r="J64" s="10"/>
      <c r="K64" s="10"/>
      <c r="L64" s="10"/>
      <c r="M64" s="10"/>
      <c r="N64" s="10"/>
      <c r="O64" s="10"/>
      <c r="P64" s="10"/>
      <c r="Q64" s="11"/>
      <c r="R64" s="23"/>
      <c r="S64" s="139"/>
      <c r="AW64" s="98" t="s">
        <v>74</v>
      </c>
      <c r="AX64" s="248">
        <v>1.14</v>
      </c>
      <c r="AY64" s="249">
        <v>247</v>
      </c>
      <c r="BA64" s="120" t="s">
        <v>119</v>
      </c>
      <c r="BB64" s="120">
        <v>1.53</v>
      </c>
      <c r="BC64" s="120">
        <v>1.53</v>
      </c>
      <c r="BD64" s="120">
        <v>467</v>
      </c>
    </row>
    <row r="65" spans="1:56" ht="12.75" customHeight="1">
      <c r="A65" s="24"/>
      <c r="B65" s="21" t="s">
        <v>205</v>
      </c>
      <c r="C65" s="9"/>
      <c r="D65" s="9"/>
      <c r="E65" s="9"/>
      <c r="F65" s="9"/>
      <c r="G65" s="9"/>
      <c r="H65" s="9"/>
      <c r="I65" s="9"/>
      <c r="J65" s="10"/>
      <c r="K65" s="10"/>
      <c r="L65" s="10"/>
      <c r="M65" s="10"/>
      <c r="N65" s="10"/>
      <c r="O65" s="10"/>
      <c r="P65" s="10"/>
      <c r="Q65" s="11"/>
      <c r="R65" s="23"/>
      <c r="S65" s="139"/>
      <c r="AW65" s="98" t="s">
        <v>75</v>
      </c>
      <c r="AX65" s="248">
        <v>1.08</v>
      </c>
      <c r="AY65" s="249">
        <v>439</v>
      </c>
      <c r="BA65" s="120" t="s">
        <v>120</v>
      </c>
      <c r="BB65" s="120">
        <v>0.06</v>
      </c>
      <c r="BC65" s="120">
        <v>1.06</v>
      </c>
      <c r="BD65" s="120">
        <v>4</v>
      </c>
    </row>
    <row r="66" spans="1:56" ht="12.75" customHeight="1" thickBot="1">
      <c r="A66" s="23"/>
      <c r="B66" s="22"/>
      <c r="C66" s="12"/>
      <c r="D66" s="12"/>
      <c r="E66" s="12"/>
      <c r="F66" s="12"/>
      <c r="G66" s="12"/>
      <c r="H66" s="12"/>
      <c r="I66" s="12"/>
      <c r="J66" s="13"/>
      <c r="K66" s="13"/>
      <c r="L66" s="13"/>
      <c r="M66" s="13"/>
      <c r="N66" s="13"/>
      <c r="O66" s="13"/>
      <c r="P66" s="13"/>
      <c r="Q66" s="14"/>
      <c r="R66" s="23"/>
      <c r="S66" s="139"/>
      <c r="AW66" s="98" t="s">
        <v>76</v>
      </c>
      <c r="AX66" s="248">
        <v>1.21</v>
      </c>
      <c r="AY66" s="249">
        <v>452</v>
      </c>
      <c r="BA66" s="120" t="s">
        <v>121</v>
      </c>
      <c r="BB66" s="120">
        <v>0.09</v>
      </c>
      <c r="BC66" s="120">
        <v>1.09</v>
      </c>
      <c r="BD66" s="120">
        <v>14</v>
      </c>
    </row>
    <row r="67" spans="1:56" ht="12.75">
      <c r="A67" s="23"/>
      <c r="B67" s="23"/>
      <c r="C67" s="23"/>
      <c r="D67" s="23"/>
      <c r="E67" s="23"/>
      <c r="F67" s="23"/>
      <c r="G67" s="23"/>
      <c r="H67" s="23"/>
      <c r="I67" s="23"/>
      <c r="J67" s="23"/>
      <c r="K67" s="23"/>
      <c r="L67" s="23"/>
      <c r="M67" s="23"/>
      <c r="N67" s="23"/>
      <c r="O67" s="23"/>
      <c r="P67" s="23"/>
      <c r="Q67" s="23"/>
      <c r="R67" s="23"/>
      <c r="S67" s="139"/>
      <c r="AW67" s="98" t="s">
        <v>77</v>
      </c>
      <c r="AX67" s="248">
        <v>0.01</v>
      </c>
      <c r="AY67" s="249">
        <v>6</v>
      </c>
      <c r="BA67" s="120" t="s">
        <v>122</v>
      </c>
      <c r="BB67" s="120">
        <v>0.07</v>
      </c>
      <c r="BC67" s="120">
        <v>1.07</v>
      </c>
      <c r="BD67" s="120">
        <v>13</v>
      </c>
    </row>
    <row r="68" spans="1:56" ht="12.75">
      <c r="A68" s="23"/>
      <c r="B68" s="23"/>
      <c r="C68" s="23"/>
      <c r="D68" s="23"/>
      <c r="E68" s="23"/>
      <c r="F68" s="23"/>
      <c r="G68" s="23"/>
      <c r="H68" s="23"/>
      <c r="I68" s="23"/>
      <c r="J68" s="23"/>
      <c r="K68" s="23"/>
      <c r="L68" s="23"/>
      <c r="M68" s="23"/>
      <c r="N68" s="23"/>
      <c r="O68" s="23"/>
      <c r="P68" s="23"/>
      <c r="Q68" s="23"/>
      <c r="R68" s="23"/>
      <c r="S68" s="139"/>
      <c r="AW68" s="98" t="s">
        <v>78</v>
      </c>
      <c r="AX68" s="248">
        <v>0.06</v>
      </c>
      <c r="AY68" s="249">
        <v>35</v>
      </c>
      <c r="BA68" s="120" t="s">
        <v>123</v>
      </c>
      <c r="BB68" s="120">
        <v>0.1</v>
      </c>
      <c r="BC68" s="120">
        <v>1.1</v>
      </c>
      <c r="BD68" s="120">
        <v>20</v>
      </c>
    </row>
    <row r="69" spans="1:56" ht="12.75">
      <c r="A69" s="20"/>
      <c r="B69" s="23"/>
      <c r="C69" s="23"/>
      <c r="D69" s="23"/>
      <c r="E69" s="23"/>
      <c r="F69" s="23"/>
      <c r="G69" s="23"/>
      <c r="H69" s="23"/>
      <c r="I69" s="23"/>
      <c r="J69" s="23"/>
      <c r="K69" s="23"/>
      <c r="L69" s="23"/>
      <c r="M69" s="23"/>
      <c r="N69" s="23"/>
      <c r="O69" s="23"/>
      <c r="P69" s="23"/>
      <c r="Q69" s="23"/>
      <c r="AW69" s="99" t="s">
        <v>79</v>
      </c>
      <c r="AX69" s="250">
        <v>0.14</v>
      </c>
      <c r="AY69" s="251">
        <v>43</v>
      </c>
      <c r="BA69" s="120"/>
      <c r="BB69" s="120"/>
      <c r="BC69" s="120"/>
      <c r="BD69" s="120"/>
    </row>
    <row r="70" spans="53:56" ht="12.75">
      <c r="BA70" s="277" t="s">
        <v>39</v>
      </c>
      <c r="BB70" s="277">
        <v>0.5</v>
      </c>
      <c r="BC70" s="277">
        <v>1.5</v>
      </c>
      <c r="BD70" s="277">
        <v>7</v>
      </c>
    </row>
    <row r="71" spans="53:56" ht="13.5" thickBot="1">
      <c r="BA71" s="277" t="s">
        <v>40</v>
      </c>
      <c r="BB71" s="277">
        <v>2.8</v>
      </c>
      <c r="BC71" s="277">
        <v>2.8</v>
      </c>
      <c r="BD71" s="277">
        <v>16</v>
      </c>
    </row>
    <row r="72" spans="49:56" ht="18">
      <c r="AW72" s="320" t="s">
        <v>85</v>
      </c>
      <c r="AX72" s="316"/>
      <c r="AY72" s="317"/>
      <c r="BA72" s="277" t="s">
        <v>41</v>
      </c>
      <c r="BB72" s="277">
        <v>4.05</v>
      </c>
      <c r="BC72" s="277">
        <v>4.05</v>
      </c>
      <c r="BD72" s="277">
        <v>1340</v>
      </c>
    </row>
    <row r="73" spans="49:56" ht="15">
      <c r="AW73" s="98" t="s">
        <v>86</v>
      </c>
      <c r="AX73" s="94">
        <v>1.77</v>
      </c>
      <c r="AY73" s="95">
        <v>241</v>
      </c>
      <c r="BA73" s="277" t="s">
        <v>241</v>
      </c>
      <c r="BB73" s="277">
        <v>2.62</v>
      </c>
      <c r="BC73" s="277">
        <v>2.62</v>
      </c>
      <c r="BD73" s="277">
        <v>417</v>
      </c>
    </row>
    <row r="74" spans="49:56" ht="15">
      <c r="AW74" s="98" t="s">
        <v>87</v>
      </c>
      <c r="AX74" s="94">
        <v>1.12</v>
      </c>
      <c r="AY74" s="95">
        <v>323</v>
      </c>
      <c r="BA74" s="278" t="s">
        <v>133</v>
      </c>
      <c r="BB74" s="277">
        <v>0.5</v>
      </c>
      <c r="BC74" s="277">
        <v>1.5</v>
      </c>
      <c r="BD74" s="277">
        <v>7</v>
      </c>
    </row>
    <row r="75" spans="49:51" ht="15.75" thickBot="1">
      <c r="AW75" s="99" t="s">
        <v>88</v>
      </c>
      <c r="AX75" s="96">
        <v>1.48</v>
      </c>
      <c r="AY75" s="97">
        <v>406</v>
      </c>
    </row>
    <row r="76" spans="49:51" ht="18">
      <c r="AW76" s="320" t="s">
        <v>89</v>
      </c>
      <c r="AX76" s="316"/>
      <c r="AY76" s="317"/>
    </row>
    <row r="77" spans="49:51" ht="15">
      <c r="AW77" s="98" t="s">
        <v>87</v>
      </c>
      <c r="AX77" s="94">
        <v>1.1</v>
      </c>
      <c r="AY77" s="95">
        <v>127</v>
      </c>
    </row>
    <row r="78" spans="49:51" ht="15.75" thickBot="1">
      <c r="AW78" s="99" t="s">
        <v>90</v>
      </c>
      <c r="AX78" s="96">
        <v>1.47</v>
      </c>
      <c r="AY78" s="97">
        <v>323</v>
      </c>
    </row>
    <row r="79" spans="49:51" ht="18">
      <c r="AW79" s="320" t="s">
        <v>91</v>
      </c>
      <c r="AX79" s="316"/>
      <c r="AY79" s="317"/>
    </row>
    <row r="80" spans="49:51" ht="15.75">
      <c r="AW80" s="100" t="s">
        <v>92</v>
      </c>
      <c r="AX80" s="101">
        <v>0</v>
      </c>
      <c r="AY80" s="102">
        <v>0</v>
      </c>
    </row>
    <row r="81" ht="13.5" thickBot="1"/>
    <row r="82" spans="49:51" ht="16.5" thickBot="1">
      <c r="AW82" s="313" t="s">
        <v>93</v>
      </c>
      <c r="AX82" s="314"/>
      <c r="AY82" s="315"/>
    </row>
    <row r="83" spans="49:51" ht="16.5" thickTop="1">
      <c r="AW83" s="375" t="s">
        <v>94</v>
      </c>
      <c r="AX83" s="376"/>
      <c r="AY83" s="377"/>
    </row>
    <row r="84" spans="49:51" ht="12.75">
      <c r="AW84" s="378" t="s">
        <v>95</v>
      </c>
      <c r="AX84" s="379"/>
      <c r="AY84" s="380"/>
    </row>
    <row r="85" spans="49:51" ht="18.75">
      <c r="AW85" s="381" t="s">
        <v>96</v>
      </c>
      <c r="AX85" s="382"/>
      <c r="AY85" s="383"/>
    </row>
    <row r="86" spans="49:51" ht="12.75">
      <c r="AW86" s="384" t="s">
        <v>97</v>
      </c>
      <c r="AX86" s="382"/>
      <c r="AY86" s="383"/>
    </row>
    <row r="87" spans="49:51" ht="18.75">
      <c r="AW87" s="381" t="s">
        <v>98</v>
      </c>
      <c r="AX87" s="382"/>
      <c r="AY87" s="383"/>
    </row>
    <row r="88" spans="49:51" ht="13.5" thickBot="1">
      <c r="AW88" s="385" t="s">
        <v>99</v>
      </c>
      <c r="AX88" s="386"/>
      <c r="AY88" s="387"/>
    </row>
    <row r="89" ht="14.25" thickBot="1" thickTop="1"/>
    <row r="90" spans="49:51" ht="21" thickBot="1">
      <c r="AW90" s="388" t="s">
        <v>85</v>
      </c>
      <c r="AX90" s="389"/>
      <c r="AY90" s="390"/>
    </row>
    <row r="91" spans="49:51" ht="18.75">
      <c r="AW91" s="391" t="s">
        <v>100</v>
      </c>
      <c r="AX91" s="90" t="s">
        <v>68</v>
      </c>
      <c r="AY91" s="91" t="s">
        <v>69</v>
      </c>
    </row>
    <row r="92" spans="49:51" ht="19.5" thickBot="1">
      <c r="AW92" s="392"/>
      <c r="AX92" s="92" t="s">
        <v>71</v>
      </c>
      <c r="AY92" s="93" t="s">
        <v>67</v>
      </c>
    </row>
    <row r="93" spans="49:51" ht="15">
      <c r="AW93" s="103" t="s">
        <v>101</v>
      </c>
      <c r="AX93" s="94">
        <v>0.8</v>
      </c>
      <c r="AY93" s="95">
        <v>240</v>
      </c>
    </row>
    <row r="94" spans="49:51" ht="15">
      <c r="AW94" s="103" t="s">
        <v>102</v>
      </c>
      <c r="AX94" s="94">
        <v>1.1</v>
      </c>
      <c r="AY94" s="95">
        <v>320</v>
      </c>
    </row>
    <row r="95" spans="49:51" ht="15">
      <c r="AW95" s="103" t="s">
        <v>103</v>
      </c>
      <c r="AX95" s="94">
        <v>1.5</v>
      </c>
      <c r="AY95" s="95">
        <v>410</v>
      </c>
    </row>
    <row r="96" spans="49:51" ht="15">
      <c r="AW96" s="103" t="s">
        <v>104</v>
      </c>
      <c r="AX96" s="94">
        <v>0.7</v>
      </c>
      <c r="AY96" s="95">
        <v>-70</v>
      </c>
    </row>
    <row r="97" spans="49:51" ht="15">
      <c r="AW97" s="147" t="s">
        <v>105</v>
      </c>
      <c r="AX97" s="148">
        <v>1.1</v>
      </c>
      <c r="AY97" s="149">
        <v>120</v>
      </c>
    </row>
    <row r="98" spans="49:51" ht="15">
      <c r="AW98" s="103" t="s">
        <v>106</v>
      </c>
      <c r="AX98" s="94">
        <v>1.5</v>
      </c>
      <c r="AY98" s="95">
        <v>320</v>
      </c>
    </row>
    <row r="99" spans="49:51" ht="15">
      <c r="AW99" s="103" t="s">
        <v>107</v>
      </c>
      <c r="AX99" s="96">
        <v>0.8</v>
      </c>
      <c r="AY99" s="97">
        <v>100</v>
      </c>
    </row>
    <row r="100" spans="49:51" ht="15">
      <c r="AW100" s="103" t="s">
        <v>108</v>
      </c>
      <c r="AX100" s="94">
        <v>1.1</v>
      </c>
      <c r="AY100" s="95">
        <v>250</v>
      </c>
    </row>
    <row r="101" spans="49:51" ht="15.75" thickBot="1">
      <c r="AW101" s="104" t="s">
        <v>109</v>
      </c>
      <c r="AX101" s="105">
        <v>1.5</v>
      </c>
      <c r="AY101" s="106">
        <v>410</v>
      </c>
    </row>
    <row r="102" ht="13.5" thickTop="1"/>
    <row r="103" ht="15">
      <c r="AW103" s="107" t="s">
        <v>110</v>
      </c>
    </row>
  </sheetData>
  <sheetProtection password="DDE7" sheet="1" objects="1" scenarios="1" selectLockedCells="1"/>
  <mergeCells count="69">
    <mergeCell ref="AW59:AY59"/>
    <mergeCell ref="B58:C58"/>
    <mergeCell ref="B59:C59"/>
    <mergeCell ref="F59:H59"/>
    <mergeCell ref="F58:H58"/>
    <mergeCell ref="P56:Q56"/>
    <mergeCell ref="B57:H57"/>
    <mergeCell ref="P57:Q57"/>
    <mergeCell ref="B12:I12"/>
    <mergeCell ref="J12:Q12"/>
    <mergeCell ref="B42:C43"/>
    <mergeCell ref="D50:P50"/>
    <mergeCell ref="A1:S1"/>
    <mergeCell ref="J42:K43"/>
    <mergeCell ref="B45:B46"/>
    <mergeCell ref="B48:B49"/>
    <mergeCell ref="J45:J46"/>
    <mergeCell ref="J48:J49"/>
    <mergeCell ref="D7:H7"/>
    <mergeCell ref="D38:E38"/>
    <mergeCell ref="M38:N38"/>
    <mergeCell ref="AW87:AY87"/>
    <mergeCell ref="AW88:AY88"/>
    <mergeCell ref="AW90:AY90"/>
    <mergeCell ref="AW91:AW92"/>
    <mergeCell ref="AW83:AY83"/>
    <mergeCell ref="AW84:AY84"/>
    <mergeCell ref="AW85:AY85"/>
    <mergeCell ref="AW86:AY86"/>
    <mergeCell ref="AW72:AY72"/>
    <mergeCell ref="AW76:AY76"/>
    <mergeCell ref="AW79:AY79"/>
    <mergeCell ref="AW82:AY82"/>
    <mergeCell ref="AW11:AY11"/>
    <mergeCell ref="AW58:AY58"/>
    <mergeCell ref="AQ33:AS33"/>
    <mergeCell ref="AW12:AY12"/>
    <mergeCell ref="AW14:AY14"/>
    <mergeCell ref="AW15:AY15"/>
    <mergeCell ref="AW16:AY16"/>
    <mergeCell ref="AW17:AY17"/>
    <mergeCell ref="AW19:AY19"/>
    <mergeCell ref="AW20:AY20"/>
    <mergeCell ref="AW5:AY5"/>
    <mergeCell ref="AW8:AY8"/>
    <mergeCell ref="AW9:AY9"/>
    <mergeCell ref="AW10:AY10"/>
    <mergeCell ref="AW1:AZ1"/>
    <mergeCell ref="AW2:AY2"/>
    <mergeCell ref="AW3:AY3"/>
    <mergeCell ref="AW4:AY4"/>
    <mergeCell ref="AW21:AY21"/>
    <mergeCell ref="AW22:AY22"/>
    <mergeCell ref="AW31:AY31"/>
    <mergeCell ref="AW33:AY33"/>
    <mergeCell ref="AW34:AY34"/>
    <mergeCell ref="AW35:AY35"/>
    <mergeCell ref="AW45:AY45"/>
    <mergeCell ref="AW37:AY37"/>
    <mergeCell ref="AW38:AY38"/>
    <mergeCell ref="AW39:AY39"/>
    <mergeCell ref="AW40:AY40"/>
    <mergeCell ref="AW42:AY42"/>
    <mergeCell ref="AW43:AY43"/>
    <mergeCell ref="AW44:AY44"/>
    <mergeCell ref="AW50:AY50"/>
    <mergeCell ref="AW53:AY53"/>
    <mergeCell ref="AW51:AY51"/>
    <mergeCell ref="D51:P51"/>
  </mergeCells>
  <conditionalFormatting sqref="H42">
    <cfRule type="cellIs" priority="1" dxfId="0" operator="equal" stopIfTrue="1">
      <formula>"Siehe Strom!"</formula>
    </cfRule>
  </conditionalFormatting>
  <conditionalFormatting sqref="M38">
    <cfRule type="cellIs" priority="2" dxfId="1" operator="equal" stopIfTrue="1">
      <formula>"Kernkraft"</formula>
    </cfRule>
  </conditionalFormatting>
  <dataValidations count="4">
    <dataValidation type="list" allowBlank="1" showInputMessage="1" showErrorMessage="1" sqref="M38">
      <formula1>$BA$70:$BA$74</formula1>
    </dataValidation>
    <dataValidation type="list" allowBlank="1" showInputMessage="1" showErrorMessage="1" sqref="D38">
      <formula1>$AK$6:$AK$14</formula1>
    </dataValidation>
    <dataValidation type="list" allowBlank="1" showInputMessage="1" showErrorMessage="1" sqref="D24:F24 L24:N24">
      <formula1>Anlagenneigung</formula1>
    </dataValidation>
    <dataValidation type="list" allowBlank="1" showInputMessage="1" showErrorMessage="1" sqref="D27:F27 L27:N27">
      <formula1>Anlagenneigung2</formula1>
    </dataValidation>
  </dataValidations>
  <printOptions/>
  <pageMargins left="0.7874015748031497" right="0.7874015748031497" top="0.984251968503937" bottom="0.984251968503937" header="0.5118110236220472" footer="0.5118110236220472"/>
  <pageSetup horizontalDpi="600" verticalDpi="600" orientation="portrait" paperSize="9" scale="54" r:id="rId4"/>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AX121"/>
  <sheetViews>
    <sheetView zoomScale="75" zoomScaleNormal="75" workbookViewId="0" topLeftCell="A1">
      <selection activeCell="D15" sqref="D15"/>
    </sheetView>
  </sheetViews>
  <sheetFormatPr defaultColWidth="11.421875" defaultRowHeight="12.75"/>
  <cols>
    <col min="2" max="3" width="31.28125" style="0" customWidth="1"/>
    <col min="4" max="4" width="20.8515625" style="0" customWidth="1"/>
    <col min="5" max="5" width="12.7109375" style="0" customWidth="1"/>
    <col min="6" max="6" width="2.7109375" style="0" customWidth="1"/>
    <col min="7" max="7" width="17.8515625" style="0" customWidth="1"/>
    <col min="8" max="8" width="37.7109375" style="0" customWidth="1"/>
    <col min="9" max="9" width="17.28125" style="0" customWidth="1"/>
    <col min="10" max="10" width="20.140625" style="0" customWidth="1"/>
    <col min="11" max="11" width="2.7109375" style="0" customWidth="1"/>
    <col min="13" max="13" width="5.57421875" style="0" customWidth="1"/>
    <col min="30" max="30" width="21.57421875" style="0" customWidth="1"/>
    <col min="31" max="31" width="27.421875" style="0" hidden="1" customWidth="1"/>
    <col min="32" max="32" width="9.57421875" style="0" hidden="1" customWidth="1"/>
    <col min="33" max="33" width="8.8515625" style="0" hidden="1" customWidth="1"/>
    <col min="34" max="34" width="27.57421875" style="0" hidden="1" customWidth="1"/>
    <col min="35" max="35" width="8.8515625" style="0" hidden="1" customWidth="1"/>
    <col min="36" max="36" width="7.8515625" style="0" hidden="1" customWidth="1"/>
    <col min="37" max="37" width="27.57421875" style="0" hidden="1" customWidth="1"/>
    <col min="38" max="38" width="7.57421875" style="0" hidden="1" customWidth="1"/>
    <col min="39" max="39" width="7.421875" style="0" hidden="1" customWidth="1"/>
    <col min="40" max="40" width="29.00390625" style="0" hidden="1" customWidth="1"/>
    <col min="41" max="42" width="7.57421875" style="0" hidden="1" customWidth="1"/>
    <col min="43" max="43" width="49.28125" style="0" customWidth="1"/>
    <col min="44" max="44" width="30.57421875" style="0" customWidth="1"/>
    <col min="45" max="45" width="18.00390625" style="0" customWidth="1"/>
    <col min="46" max="46" width="34.7109375" style="0" customWidth="1"/>
    <col min="47" max="47" width="15.28125" style="0" customWidth="1"/>
    <col min="48" max="48" width="6.7109375" style="0" customWidth="1"/>
    <col min="49" max="49" width="10.7109375" style="0" customWidth="1"/>
    <col min="50" max="50" width="13.8515625" style="0" customWidth="1"/>
  </cols>
  <sheetData>
    <row r="1" spans="1:50" ht="35.25">
      <c r="A1" s="393"/>
      <c r="B1" s="393"/>
      <c r="C1" s="393"/>
      <c r="D1" s="393"/>
      <c r="E1" s="393"/>
      <c r="F1" s="393"/>
      <c r="G1" s="393"/>
      <c r="H1" s="393"/>
      <c r="I1" s="393"/>
      <c r="J1" s="393"/>
      <c r="K1" s="393"/>
      <c r="L1" s="393"/>
      <c r="M1" s="394"/>
      <c r="AQ1" s="183"/>
      <c r="AR1" s="183"/>
      <c r="AS1" s="183"/>
      <c r="AT1" s="183"/>
      <c r="AU1" s="177"/>
      <c r="AV1" s="177"/>
      <c r="AW1" s="177"/>
      <c r="AX1" s="177"/>
    </row>
    <row r="2" spans="1:50" ht="18">
      <c r="A2" s="23"/>
      <c r="B2" s="23"/>
      <c r="C2" s="23"/>
      <c r="D2" s="23"/>
      <c r="E2" s="23"/>
      <c r="F2" s="23"/>
      <c r="G2" s="23"/>
      <c r="H2" s="23"/>
      <c r="I2" s="23"/>
      <c r="J2" s="23"/>
      <c r="K2" s="23"/>
      <c r="L2" s="23"/>
      <c r="M2" s="139"/>
      <c r="AQ2" s="184"/>
      <c r="AR2" s="184"/>
      <c r="AS2" s="184"/>
      <c r="AT2" s="174"/>
      <c r="AU2" s="177"/>
      <c r="AV2" s="177"/>
      <c r="AW2" s="177"/>
      <c r="AX2" s="177"/>
    </row>
    <row r="3" spans="1:50" ht="15">
      <c r="A3" s="23"/>
      <c r="B3" s="23"/>
      <c r="C3" s="23"/>
      <c r="D3" s="23"/>
      <c r="E3" s="23"/>
      <c r="F3" s="23"/>
      <c r="G3" s="23"/>
      <c r="H3" s="23"/>
      <c r="I3" s="23"/>
      <c r="J3" s="23"/>
      <c r="K3" s="23"/>
      <c r="L3" s="23"/>
      <c r="M3" s="139"/>
      <c r="AQ3" s="173"/>
      <c r="AR3" s="173"/>
      <c r="AS3" s="173"/>
      <c r="AT3" s="170"/>
      <c r="AU3" s="177"/>
      <c r="AV3" s="177"/>
      <c r="AW3" s="177"/>
      <c r="AX3" s="177"/>
    </row>
    <row r="4" spans="1:50" ht="15">
      <c r="A4" s="19"/>
      <c r="B4" s="27"/>
      <c r="C4" s="27"/>
      <c r="D4" s="27"/>
      <c r="E4" s="27"/>
      <c r="F4" s="27"/>
      <c r="G4" s="27"/>
      <c r="H4" s="27"/>
      <c r="I4" s="27"/>
      <c r="J4" s="27"/>
      <c r="K4" s="27"/>
      <c r="L4" s="23"/>
      <c r="M4" s="139"/>
      <c r="P4" s="20"/>
      <c r="Q4" s="20"/>
      <c r="R4" s="20"/>
      <c r="AD4" s="168"/>
      <c r="AE4" s="136" t="s">
        <v>172</v>
      </c>
      <c r="AF4" s="136" t="s">
        <v>174</v>
      </c>
      <c r="AG4" s="136"/>
      <c r="AH4" s="136" t="s">
        <v>171</v>
      </c>
      <c r="AI4" s="119"/>
      <c r="AJ4" s="119"/>
      <c r="AK4" s="136" t="s">
        <v>170</v>
      </c>
      <c r="AL4" s="119"/>
      <c r="AM4" s="136"/>
      <c r="AN4" s="136" t="s">
        <v>244</v>
      </c>
      <c r="AO4" s="119"/>
      <c r="AP4" s="119"/>
      <c r="AQ4" s="178"/>
      <c r="AR4" s="178"/>
      <c r="AS4" s="178"/>
      <c r="AT4" s="171"/>
      <c r="AU4" s="177"/>
      <c r="AV4" s="177"/>
      <c r="AW4" s="177"/>
      <c r="AX4" s="177"/>
    </row>
    <row r="5" spans="1:50" ht="15">
      <c r="A5" s="19"/>
      <c r="B5" s="27"/>
      <c r="C5" s="27"/>
      <c r="D5" s="27"/>
      <c r="E5" s="27"/>
      <c r="F5" s="27"/>
      <c r="G5" s="27"/>
      <c r="H5" s="27"/>
      <c r="I5" s="27"/>
      <c r="J5" s="27"/>
      <c r="K5" s="27"/>
      <c r="L5" s="23"/>
      <c r="M5" s="139"/>
      <c r="P5" s="20"/>
      <c r="Q5" s="20"/>
      <c r="R5" s="20"/>
      <c r="AD5" s="169"/>
      <c r="AE5" s="135" t="s">
        <v>139</v>
      </c>
      <c r="AF5" s="119" t="s">
        <v>163</v>
      </c>
      <c r="AG5" s="119" t="s">
        <v>164</v>
      </c>
      <c r="AH5" s="135" t="s">
        <v>165</v>
      </c>
      <c r="AI5" s="119" t="s">
        <v>163</v>
      </c>
      <c r="AJ5" s="119" t="s">
        <v>164</v>
      </c>
      <c r="AK5" s="135" t="s">
        <v>166</v>
      </c>
      <c r="AL5" s="119" t="s">
        <v>163</v>
      </c>
      <c r="AM5" s="119" t="s">
        <v>164</v>
      </c>
      <c r="AN5" s="135" t="s">
        <v>167</v>
      </c>
      <c r="AO5" s="119" t="s">
        <v>163</v>
      </c>
      <c r="AP5" s="119" t="s">
        <v>164</v>
      </c>
      <c r="AQ5" s="178"/>
      <c r="AR5" s="178"/>
      <c r="AS5" s="178"/>
      <c r="AT5" s="171"/>
      <c r="AU5" s="177"/>
      <c r="AV5" s="177"/>
      <c r="AW5" s="177"/>
      <c r="AX5" s="177"/>
    </row>
    <row r="6" spans="1:50" ht="15">
      <c r="A6" s="19"/>
      <c r="B6" s="15"/>
      <c r="C6" s="25"/>
      <c r="D6" s="26">
        <v>100</v>
      </c>
      <c r="E6" s="26"/>
      <c r="F6" s="26"/>
      <c r="G6" s="26"/>
      <c r="H6" s="26"/>
      <c r="I6" s="26"/>
      <c r="J6" s="26"/>
      <c r="K6" s="26"/>
      <c r="L6" s="23"/>
      <c r="M6" s="139"/>
      <c r="P6" s="20"/>
      <c r="Q6" s="20"/>
      <c r="R6" s="20"/>
      <c r="AD6" s="168"/>
      <c r="AE6" s="119" t="s">
        <v>48</v>
      </c>
      <c r="AF6" s="321">
        <f>AK37</f>
        <v>3027.6239292388827</v>
      </c>
      <c r="AG6" s="136"/>
      <c r="AH6" s="119" t="s">
        <v>48</v>
      </c>
      <c r="AI6" s="190">
        <v>15</v>
      </c>
      <c r="AJ6" s="190">
        <v>15</v>
      </c>
      <c r="AK6" s="119" t="s">
        <v>48</v>
      </c>
      <c r="AL6" s="197">
        <f>(((1+$D$24)^AI6)*$D$24)/(((1+$D$24)^AI6)-1)</f>
        <v>0.07855513315631725</v>
      </c>
      <c r="AM6" s="197"/>
      <c r="AN6" s="190" t="s">
        <v>48</v>
      </c>
      <c r="AO6" s="191">
        <v>0.03</v>
      </c>
      <c r="AP6" s="196">
        <v>0.03</v>
      </c>
      <c r="AQ6" s="178"/>
      <c r="AR6" s="178"/>
      <c r="AS6" s="178"/>
      <c r="AT6" s="171"/>
      <c r="AU6" s="177"/>
      <c r="AV6" s="177"/>
      <c r="AW6" s="177"/>
      <c r="AX6" s="177"/>
    </row>
    <row r="7" spans="1:50" ht="12.75">
      <c r="A7" s="23"/>
      <c r="B7" s="3" t="s">
        <v>3</v>
      </c>
      <c r="C7" s="4" t="s">
        <v>134</v>
      </c>
      <c r="D7" s="427" t="str">
        <f>Gesamtenergiebilanz!D7</f>
        <v>Testhaus</v>
      </c>
      <c r="E7" s="427"/>
      <c r="F7" s="4"/>
      <c r="G7" s="7"/>
      <c r="H7" s="7"/>
      <c r="I7" s="7"/>
      <c r="J7" s="7"/>
      <c r="K7" s="8"/>
      <c r="L7" s="23"/>
      <c r="M7" s="139"/>
      <c r="P7" s="20"/>
      <c r="Q7" s="20"/>
      <c r="R7" s="20"/>
      <c r="AD7" s="168"/>
      <c r="AE7" s="119" t="s">
        <v>53</v>
      </c>
      <c r="AF7" s="321">
        <f>AK36</f>
        <v>2627.6442541834704</v>
      </c>
      <c r="AG7" s="136"/>
      <c r="AH7" s="119" t="s">
        <v>53</v>
      </c>
      <c r="AI7" s="190">
        <v>15</v>
      </c>
      <c r="AJ7" s="190">
        <v>15</v>
      </c>
      <c r="AK7" s="119" t="s">
        <v>53</v>
      </c>
      <c r="AL7" s="197">
        <f aca="true" t="shared" si="0" ref="AL7:AL15">(((1+$D$24)^AI7)*$D$24)/(((1+$D$24)^AI7)-1)</f>
        <v>0.07855513315631725</v>
      </c>
      <c r="AM7" s="197"/>
      <c r="AN7" s="192" t="s">
        <v>53</v>
      </c>
      <c r="AO7" s="193">
        <v>0.03</v>
      </c>
      <c r="AP7" s="196">
        <v>0.03</v>
      </c>
      <c r="AQ7" s="172"/>
      <c r="AR7" s="172"/>
      <c r="AS7" s="172"/>
      <c r="AT7" s="172"/>
      <c r="AU7" s="177"/>
      <c r="AV7" s="177"/>
      <c r="AW7" s="177"/>
      <c r="AX7" s="177"/>
    </row>
    <row r="8" spans="1:50" ht="18">
      <c r="A8" s="23"/>
      <c r="B8" s="3"/>
      <c r="C8" s="4" t="s">
        <v>5</v>
      </c>
      <c r="D8" s="265">
        <f>Gesamtenergiebilanz!D8</f>
        <v>130</v>
      </c>
      <c r="E8" s="4" t="s">
        <v>6</v>
      </c>
      <c r="F8" s="4"/>
      <c r="G8" s="7"/>
      <c r="H8" s="7"/>
      <c r="I8" s="7"/>
      <c r="J8" s="7"/>
      <c r="K8" s="8"/>
      <c r="L8" s="23"/>
      <c r="M8" s="139"/>
      <c r="P8" s="20"/>
      <c r="Q8" s="20"/>
      <c r="R8" s="20"/>
      <c r="AD8" s="168"/>
      <c r="AE8" s="119" t="s">
        <v>54</v>
      </c>
      <c r="AF8" s="321">
        <f>AK34</f>
        <v>10172.133333333333</v>
      </c>
      <c r="AG8" s="136"/>
      <c r="AH8" s="119" t="s">
        <v>54</v>
      </c>
      <c r="AI8" s="190">
        <v>15</v>
      </c>
      <c r="AJ8" s="190">
        <v>15</v>
      </c>
      <c r="AK8" s="119" t="s">
        <v>54</v>
      </c>
      <c r="AL8" s="197">
        <f t="shared" si="0"/>
        <v>0.07855513315631725</v>
      </c>
      <c r="AM8" s="197"/>
      <c r="AN8" s="192" t="s">
        <v>54</v>
      </c>
      <c r="AO8" s="193">
        <v>0.03</v>
      </c>
      <c r="AP8" s="196">
        <v>0.03</v>
      </c>
      <c r="AQ8" s="184"/>
      <c r="AR8" s="184"/>
      <c r="AS8" s="184"/>
      <c r="AT8" s="174"/>
      <c r="AU8" s="177"/>
      <c r="AV8" s="177"/>
      <c r="AW8" s="177"/>
      <c r="AX8" s="177"/>
    </row>
    <row r="9" spans="1:50" ht="15">
      <c r="A9" s="23"/>
      <c r="B9" s="5"/>
      <c r="C9" s="4" t="s">
        <v>8</v>
      </c>
      <c r="D9" s="265">
        <f>Gesamtenergiebilanz!D9</f>
        <v>0.8</v>
      </c>
      <c r="E9" s="4"/>
      <c r="F9" s="4"/>
      <c r="G9" s="7"/>
      <c r="H9" s="7"/>
      <c r="I9" s="7"/>
      <c r="J9" s="7"/>
      <c r="K9" s="8"/>
      <c r="L9" s="23"/>
      <c r="M9" s="139"/>
      <c r="AD9" s="168"/>
      <c r="AE9" s="119" t="s">
        <v>55</v>
      </c>
      <c r="AF9" s="321">
        <f>AK35</f>
        <v>14974.5</v>
      </c>
      <c r="AG9" s="136"/>
      <c r="AH9" s="119" t="s">
        <v>55</v>
      </c>
      <c r="AI9" s="190">
        <v>15</v>
      </c>
      <c r="AJ9" s="190">
        <v>15</v>
      </c>
      <c r="AK9" s="119" t="s">
        <v>55</v>
      </c>
      <c r="AL9" s="197">
        <f t="shared" si="0"/>
        <v>0.07855513315631725</v>
      </c>
      <c r="AM9" s="197"/>
      <c r="AN9" s="192" t="s">
        <v>55</v>
      </c>
      <c r="AO9" s="193">
        <v>0.03</v>
      </c>
      <c r="AP9" s="196">
        <v>0.03</v>
      </c>
      <c r="AQ9" s="173"/>
      <c r="AR9" s="173"/>
      <c r="AS9" s="173"/>
      <c r="AT9" s="173"/>
      <c r="AU9" s="177"/>
      <c r="AV9" s="177"/>
      <c r="AW9" s="177"/>
      <c r="AX9" s="177"/>
    </row>
    <row r="10" spans="1:50" ht="17.25" customHeight="1">
      <c r="A10" s="23"/>
      <c r="B10" s="5"/>
      <c r="C10" s="4" t="s">
        <v>4</v>
      </c>
      <c r="D10" s="265">
        <f>D8/D9</f>
        <v>162.5</v>
      </c>
      <c r="E10" s="4" t="s">
        <v>6</v>
      </c>
      <c r="F10" s="4"/>
      <c r="G10" s="7"/>
      <c r="H10" s="7"/>
      <c r="I10" s="7"/>
      <c r="J10" s="7"/>
      <c r="K10" s="8"/>
      <c r="L10" s="23"/>
      <c r="M10" s="139"/>
      <c r="AD10" s="168"/>
      <c r="AE10" s="119" t="s">
        <v>62</v>
      </c>
      <c r="AF10" s="321">
        <f>AK38</f>
        <v>7493.014236070937</v>
      </c>
      <c r="AG10" s="136"/>
      <c r="AH10" s="119" t="s">
        <v>62</v>
      </c>
      <c r="AI10" s="190">
        <v>30</v>
      </c>
      <c r="AJ10" s="190">
        <v>30</v>
      </c>
      <c r="AK10" s="119" t="s">
        <v>62</v>
      </c>
      <c r="AL10" s="197">
        <f t="shared" si="0"/>
        <v>0.04542099844708506</v>
      </c>
      <c r="AM10" s="197"/>
      <c r="AN10" s="192" t="s">
        <v>62</v>
      </c>
      <c r="AO10" s="193">
        <v>0.03</v>
      </c>
      <c r="AP10" s="196">
        <v>0.03</v>
      </c>
      <c r="AQ10" s="178"/>
      <c r="AR10" s="178"/>
      <c r="AS10" s="178"/>
      <c r="AT10" s="171"/>
      <c r="AU10" s="177"/>
      <c r="AV10" s="177"/>
      <c r="AW10" s="177"/>
      <c r="AX10" s="177"/>
    </row>
    <row r="11" spans="1:50" ht="15.75" thickBot="1">
      <c r="A11" s="23"/>
      <c r="B11" s="6"/>
      <c r="C11" s="7"/>
      <c r="D11" s="7"/>
      <c r="E11" s="7"/>
      <c r="F11" s="7"/>
      <c r="G11" s="7"/>
      <c r="H11" s="7"/>
      <c r="I11" s="7"/>
      <c r="J11" s="7"/>
      <c r="K11" s="8"/>
      <c r="L11" s="23"/>
      <c r="M11" s="139"/>
      <c r="AD11" s="168"/>
      <c r="AE11" s="119" t="s">
        <v>63</v>
      </c>
      <c r="AF11" s="321">
        <f>AK39</f>
        <v>8070.490658411139</v>
      </c>
      <c r="AG11" s="136"/>
      <c r="AH11" s="119" t="s">
        <v>63</v>
      </c>
      <c r="AI11" s="190">
        <v>15</v>
      </c>
      <c r="AJ11" s="190">
        <v>15</v>
      </c>
      <c r="AK11" s="119" t="s">
        <v>63</v>
      </c>
      <c r="AL11" s="197">
        <f t="shared" si="0"/>
        <v>0.07855513315631725</v>
      </c>
      <c r="AM11" s="197"/>
      <c r="AN11" s="192" t="s">
        <v>63</v>
      </c>
      <c r="AO11" s="193">
        <v>0.03</v>
      </c>
      <c r="AP11" s="196">
        <v>0.03</v>
      </c>
      <c r="AQ11" s="178"/>
      <c r="AR11" s="178"/>
      <c r="AS11" s="178"/>
      <c r="AT11" s="171"/>
      <c r="AU11" s="177"/>
      <c r="AV11" s="177"/>
      <c r="AW11" s="177"/>
      <c r="AX11" s="177"/>
    </row>
    <row r="12" spans="1:50" ht="26.25">
      <c r="A12" s="23"/>
      <c r="B12" s="413" t="s">
        <v>36</v>
      </c>
      <c r="C12" s="414"/>
      <c r="D12" s="414"/>
      <c r="E12" s="414"/>
      <c r="F12" s="415"/>
      <c r="G12" s="416" t="s">
        <v>37</v>
      </c>
      <c r="H12" s="417"/>
      <c r="I12" s="417"/>
      <c r="J12" s="417"/>
      <c r="K12" s="418"/>
      <c r="L12" s="23"/>
      <c r="M12" s="139"/>
      <c r="AD12" s="168"/>
      <c r="AE12" s="137" t="s">
        <v>64</v>
      </c>
      <c r="AF12" s="321">
        <f>AK40</f>
        <v>8338.115118087426</v>
      </c>
      <c r="AG12" s="136"/>
      <c r="AH12" s="137" t="s">
        <v>64</v>
      </c>
      <c r="AI12" s="190">
        <v>15</v>
      </c>
      <c r="AJ12" s="190">
        <v>15</v>
      </c>
      <c r="AK12" s="137" t="s">
        <v>64</v>
      </c>
      <c r="AL12" s="197">
        <f t="shared" si="0"/>
        <v>0.07855513315631725</v>
      </c>
      <c r="AM12" s="197"/>
      <c r="AN12" s="192" t="s">
        <v>64</v>
      </c>
      <c r="AO12" s="193">
        <v>0.03</v>
      </c>
      <c r="AP12" s="196">
        <v>0.03</v>
      </c>
      <c r="AQ12" s="173"/>
      <c r="AR12" s="173"/>
      <c r="AS12" s="173"/>
      <c r="AT12" s="173"/>
      <c r="AU12" s="177"/>
      <c r="AV12" s="177"/>
      <c r="AW12" s="177"/>
      <c r="AX12" s="177"/>
    </row>
    <row r="13" spans="1:50" ht="15" customHeight="1">
      <c r="A13" s="23"/>
      <c r="B13" s="72" t="s">
        <v>138</v>
      </c>
      <c r="C13" s="114"/>
      <c r="D13" s="114"/>
      <c r="E13" s="114"/>
      <c r="F13" s="150"/>
      <c r="G13" s="154" t="s">
        <v>177</v>
      </c>
      <c r="H13" s="116"/>
      <c r="I13" s="116"/>
      <c r="J13" s="116"/>
      <c r="K13" s="155"/>
      <c r="L13" s="23"/>
      <c r="M13" s="139"/>
      <c r="AD13" s="168"/>
      <c r="AE13" s="119" t="s">
        <v>132</v>
      </c>
      <c r="AF13" s="321">
        <f>AK41</f>
        <v>1303.98188383547</v>
      </c>
      <c r="AG13" s="136"/>
      <c r="AH13" s="119" t="s">
        <v>132</v>
      </c>
      <c r="AI13" s="190">
        <v>20</v>
      </c>
      <c r="AJ13" s="190">
        <v>20</v>
      </c>
      <c r="AK13" s="119" t="s">
        <v>132</v>
      </c>
      <c r="AL13" s="197">
        <f t="shared" si="0"/>
        <v>0.06189692148846326</v>
      </c>
      <c r="AM13" s="197"/>
      <c r="AN13" s="192" t="s">
        <v>132</v>
      </c>
      <c r="AO13" s="193">
        <v>0.02</v>
      </c>
      <c r="AP13" s="196">
        <v>0.02</v>
      </c>
      <c r="AQ13" s="172"/>
      <c r="AR13" s="172"/>
      <c r="AS13" s="172"/>
      <c r="AT13" s="172"/>
      <c r="AU13" s="177"/>
      <c r="AV13" s="177"/>
      <c r="AW13" s="177"/>
      <c r="AX13" s="177"/>
    </row>
    <row r="14" spans="1:50" ht="15" customHeight="1">
      <c r="A14" s="23"/>
      <c r="B14" s="16"/>
      <c r="C14" s="17" t="s">
        <v>12</v>
      </c>
      <c r="D14" s="213">
        <f>Gesamtenergiebilanz!D22+Gesamtenergiebilanz!E22+Gesamtenergiebilanz!F22+Gesamtenergiebilanz!D25+Gesamtenergiebilanz!E25+Gesamtenergiebilanz!F25</f>
        <v>0</v>
      </c>
      <c r="E14" s="17" t="s">
        <v>6</v>
      </c>
      <c r="F14" s="40"/>
      <c r="G14" s="156"/>
      <c r="H14" s="49" t="s">
        <v>13</v>
      </c>
      <c r="I14" s="275">
        <f>(Gesamtenergiebilanz!L22/8)+(Gesamtenergiebilanz!M22/8)+(Gesamtenergiebilanz!N22/8)+(Gesamtenergiebilanz!L25/8)+(Gesamtenergiebilanz!M25/8)+(Gesamtenergiebilanz!N25/8)</f>
        <v>0</v>
      </c>
      <c r="J14" s="49" t="s">
        <v>161</v>
      </c>
      <c r="K14" s="157"/>
      <c r="L14" s="23"/>
      <c r="M14" s="139"/>
      <c r="AD14" s="168"/>
      <c r="AE14" s="212" t="s">
        <v>85</v>
      </c>
      <c r="AF14" s="212">
        <v>13000</v>
      </c>
      <c r="AG14" s="145"/>
      <c r="AH14" s="212" t="s">
        <v>85</v>
      </c>
      <c r="AI14" s="212">
        <v>30</v>
      </c>
      <c r="AJ14" s="190">
        <v>30</v>
      </c>
      <c r="AK14" s="212" t="s">
        <v>85</v>
      </c>
      <c r="AL14" s="197">
        <f t="shared" si="0"/>
        <v>0.04542099844708506</v>
      </c>
      <c r="AM14" s="197"/>
      <c r="AN14" s="194" t="s">
        <v>85</v>
      </c>
      <c r="AO14" s="193">
        <v>0.03</v>
      </c>
      <c r="AP14" s="196">
        <v>0.03</v>
      </c>
      <c r="AQ14" s="184"/>
      <c r="AR14" s="184"/>
      <c r="AS14" s="184"/>
      <c r="AT14" s="174"/>
      <c r="AU14" s="177"/>
      <c r="AV14" s="177"/>
      <c r="AW14" s="177"/>
      <c r="AX14" s="177"/>
    </row>
    <row r="15" spans="1:50" ht="15" customHeight="1">
      <c r="A15" s="23"/>
      <c r="B15" s="16" t="s">
        <v>3</v>
      </c>
      <c r="C15" s="17" t="s">
        <v>141</v>
      </c>
      <c r="D15" s="226"/>
      <c r="E15" s="17" t="s">
        <v>140</v>
      </c>
      <c r="F15" s="40"/>
      <c r="G15" s="156" t="s">
        <v>3</v>
      </c>
      <c r="H15" s="49" t="s">
        <v>141</v>
      </c>
      <c r="I15" s="226"/>
      <c r="J15" s="49" t="s">
        <v>140</v>
      </c>
      <c r="K15" s="157"/>
      <c r="L15" s="23"/>
      <c r="M15" s="139"/>
      <c r="AE15" s="119" t="s">
        <v>12</v>
      </c>
      <c r="AF15" s="190">
        <f>IF(AI27&lt;&gt;0,((AF26*D14)+AI28),IF(AL27&lt;&gt;0,((AF26*D14)+AL28)))</f>
        <v>0</v>
      </c>
      <c r="AG15" s="190"/>
      <c r="AH15" s="119" t="s">
        <v>12</v>
      </c>
      <c r="AI15" s="190">
        <v>20</v>
      </c>
      <c r="AJ15" s="190">
        <v>20</v>
      </c>
      <c r="AK15" s="119" t="s">
        <v>12</v>
      </c>
      <c r="AL15" s="197">
        <f t="shared" si="0"/>
        <v>0.06189692148846326</v>
      </c>
      <c r="AM15" s="197"/>
      <c r="AN15" s="192" t="s">
        <v>12</v>
      </c>
      <c r="AO15" s="253">
        <f>ROUND(D14/15,0)*100</f>
        <v>0</v>
      </c>
      <c r="AP15" s="253"/>
      <c r="AQ15" s="173"/>
      <c r="AR15" s="173"/>
      <c r="AS15" s="173"/>
      <c r="AT15" s="170"/>
      <c r="AU15" s="177"/>
      <c r="AV15" s="177"/>
      <c r="AW15" s="177"/>
      <c r="AX15" s="177"/>
    </row>
    <row r="16" spans="1:50" ht="15" customHeight="1">
      <c r="A16" s="23"/>
      <c r="B16" s="29"/>
      <c r="C16" s="17" t="str">
        <f>IF(D15&lt;&gt;0,"","Investitionskosten (Schätzung)")</f>
        <v>Investitionskosten (Schätzung)</v>
      </c>
      <c r="D16" s="213">
        <f>IF(D15&lt;&gt;0,"",AF15+AI29)</f>
        <v>0</v>
      </c>
      <c r="E16" s="17" t="str">
        <f>IF(D15&lt;&gt;0,"","€")</f>
        <v>€</v>
      </c>
      <c r="F16" s="40"/>
      <c r="G16" s="158"/>
      <c r="H16" s="49" t="str">
        <f>IF(I15&lt;&gt;0,"","Investitionskosten (Schätzung)")</f>
        <v>Investitionskosten (Schätzung)</v>
      </c>
      <c r="I16" s="227">
        <f>IF(I15&lt;&gt;0,"",AG16)</f>
        <v>0</v>
      </c>
      <c r="J16" s="49" t="str">
        <f>IF(I15&lt;&gt;0,"","€")</f>
        <v>€</v>
      </c>
      <c r="K16" s="157"/>
      <c r="L16" s="23"/>
      <c r="M16" s="139"/>
      <c r="AE16" s="119" t="s">
        <v>13</v>
      </c>
      <c r="AF16" s="145"/>
      <c r="AG16" s="212">
        <f>(AF29*I14)</f>
        <v>0</v>
      </c>
      <c r="AH16" s="119" t="s">
        <v>13</v>
      </c>
      <c r="AI16" s="212"/>
      <c r="AJ16" s="212">
        <v>25</v>
      </c>
      <c r="AK16" s="119" t="s">
        <v>13</v>
      </c>
      <c r="AL16" s="197"/>
      <c r="AM16" s="197">
        <f>(((1+$D$24)^AJ16)*$D$24)/(((1+$D$24)^AJ16)-1)</f>
        <v>0.051975150186585266</v>
      </c>
      <c r="AN16" s="192" t="s">
        <v>13</v>
      </c>
      <c r="AO16" s="252"/>
      <c r="AP16" s="252">
        <f>ROUND(I14/2,0)*100</f>
        <v>0</v>
      </c>
      <c r="AQ16" s="178"/>
      <c r="AR16" s="178"/>
      <c r="AS16" s="178"/>
      <c r="AT16" s="171"/>
      <c r="AU16" s="177"/>
      <c r="AV16" s="177"/>
      <c r="AW16" s="177"/>
      <c r="AX16" s="177"/>
    </row>
    <row r="17" spans="1:50" ht="15" customHeight="1">
      <c r="A17" s="23"/>
      <c r="B17" s="29"/>
      <c r="C17" s="30" t="s">
        <v>142</v>
      </c>
      <c r="D17" s="153" t="str">
        <f>Gesamtenergiebilanz!D38</f>
        <v>Heizöl-(Brennwert)kessel</v>
      </c>
      <c r="E17" s="17"/>
      <c r="F17" s="40"/>
      <c r="G17" s="158"/>
      <c r="H17" s="159" t="s">
        <v>168</v>
      </c>
      <c r="I17" s="160">
        <f>Gesamtenergiebilanz!P38</f>
        <v>0</v>
      </c>
      <c r="J17" s="49"/>
      <c r="K17" s="157"/>
      <c r="L17" s="23"/>
      <c r="M17" s="139"/>
      <c r="AE17" s="146" t="s">
        <v>169</v>
      </c>
      <c r="AF17" s="119"/>
      <c r="AG17" s="119">
        <v>3000</v>
      </c>
      <c r="AH17" s="146" t="s">
        <v>169</v>
      </c>
      <c r="AI17" s="190">
        <v>30</v>
      </c>
      <c r="AJ17" s="190">
        <v>30</v>
      </c>
      <c r="AK17" s="146" t="s">
        <v>169</v>
      </c>
      <c r="AL17" s="197"/>
      <c r="AM17" s="197">
        <f>(((1+$D$24)^AJ17)*$D$24)/(((1+$D$24)^AJ17)-1)</f>
        <v>0.04542099844708506</v>
      </c>
      <c r="AN17" s="146" t="s">
        <v>169</v>
      </c>
      <c r="AO17" s="119"/>
      <c r="AP17" s="195">
        <v>0.01</v>
      </c>
      <c r="AQ17" s="178"/>
      <c r="AR17" s="178"/>
      <c r="AS17" s="178"/>
      <c r="AT17" s="171"/>
      <c r="AU17" s="177"/>
      <c r="AV17" s="177"/>
      <c r="AW17" s="177"/>
      <c r="AX17" s="177"/>
    </row>
    <row r="18" spans="1:50" ht="15" customHeight="1">
      <c r="A18" s="23"/>
      <c r="B18" s="16" t="s">
        <v>3</v>
      </c>
      <c r="C18" s="30" t="s">
        <v>141</v>
      </c>
      <c r="D18" s="226"/>
      <c r="E18" s="17" t="s">
        <v>140</v>
      </c>
      <c r="F18" s="40"/>
      <c r="G18" s="156" t="s">
        <v>3</v>
      </c>
      <c r="H18" s="159" t="s">
        <v>141</v>
      </c>
      <c r="I18" s="226"/>
      <c r="J18" s="49" t="s">
        <v>140</v>
      </c>
      <c r="K18" s="157"/>
      <c r="L18" s="23"/>
      <c r="M18" s="139"/>
      <c r="AQ18" s="172"/>
      <c r="AR18" s="172"/>
      <c r="AS18" s="172"/>
      <c r="AT18" s="172"/>
      <c r="AU18" s="177"/>
      <c r="AV18" s="177"/>
      <c r="AW18" s="177"/>
      <c r="AX18" s="177"/>
    </row>
    <row r="19" spans="1:50" ht="15" customHeight="1">
      <c r="A19" s="23"/>
      <c r="B19" s="29"/>
      <c r="C19" s="31" t="str">
        <f>IF(D18&lt;&gt;0,"","Investitionskosten (Schätzung)")</f>
        <v>Investitionskosten (Schätzung)</v>
      </c>
      <c r="D19" s="232">
        <f>IF(D18&lt;&gt;0,"",VLOOKUP(D31,AE6:AG14,2,FALSE))</f>
        <v>3027.6239292388827</v>
      </c>
      <c r="E19" s="36" t="str">
        <f>IF(D18&lt;&gt;0,"","€")</f>
        <v>€</v>
      </c>
      <c r="F19" s="40"/>
      <c r="G19" s="158"/>
      <c r="H19" s="161" t="str">
        <f>IF(I18&lt;&gt;0,"","Investitionskosten (Schätzung)")</f>
        <v>Investitionskosten (Schätzung)</v>
      </c>
      <c r="I19" s="233">
        <f>IF(I18&lt;&gt;0,"",AG17)</f>
        <v>3000</v>
      </c>
      <c r="J19" s="53" t="str">
        <f>IF(I18&lt;&gt;0,"","€")</f>
        <v>€</v>
      </c>
      <c r="K19" s="157"/>
      <c r="L19" s="23"/>
      <c r="M19" s="139"/>
      <c r="AH19" s="336" t="s">
        <v>245</v>
      </c>
      <c r="AI19" s="323"/>
      <c r="AJ19" s="323"/>
      <c r="AK19" s="337" t="s">
        <v>245</v>
      </c>
      <c r="AL19" s="338"/>
      <c r="AQ19" s="184"/>
      <c r="AR19" s="184"/>
      <c r="AS19" s="184"/>
      <c r="AT19" s="174"/>
      <c r="AU19" s="177"/>
      <c r="AV19" s="177"/>
      <c r="AW19" s="177"/>
      <c r="AX19" s="177"/>
    </row>
    <row r="20" spans="1:50" ht="17.25" customHeight="1">
      <c r="A20" s="23"/>
      <c r="B20" s="32"/>
      <c r="C20" s="31" t="s">
        <v>143</v>
      </c>
      <c r="D20" s="236">
        <f>IF(D15&lt;&gt;0,D15,D16)+IF(D18&lt;&gt;0,D18,D19)</f>
        <v>3027.6239292388827</v>
      </c>
      <c r="E20" s="36" t="s">
        <v>140</v>
      </c>
      <c r="F20" s="41"/>
      <c r="G20" s="162"/>
      <c r="H20" s="161" t="s">
        <v>143</v>
      </c>
      <c r="I20" s="237">
        <f>IF(I15&lt;&gt;0,I15,I16)+IF(I18&lt;&gt;0,I18,I19)</f>
        <v>3000</v>
      </c>
      <c r="J20" s="53" t="s">
        <v>140</v>
      </c>
      <c r="K20" s="163"/>
      <c r="L20" s="23"/>
      <c r="M20" s="139"/>
      <c r="AE20" s="349" t="s">
        <v>213</v>
      </c>
      <c r="AF20" s="338"/>
      <c r="AH20" s="326" t="s">
        <v>217</v>
      </c>
      <c r="AI20" s="118"/>
      <c r="AJ20" s="118"/>
      <c r="AK20" s="339" t="s">
        <v>216</v>
      </c>
      <c r="AL20" s="168"/>
      <c r="AQ20" s="173"/>
      <c r="AR20" s="173"/>
      <c r="AS20" s="173"/>
      <c r="AT20" s="173"/>
      <c r="AU20" s="177"/>
      <c r="AV20" s="177"/>
      <c r="AW20" s="177"/>
      <c r="AX20" s="177"/>
    </row>
    <row r="21" spans="1:50" ht="15" customHeight="1">
      <c r="A21" s="23"/>
      <c r="B21" s="34" t="s">
        <v>157</v>
      </c>
      <c r="C21" s="18"/>
      <c r="D21" s="18"/>
      <c r="E21" s="18"/>
      <c r="F21" s="42"/>
      <c r="G21" s="164" t="s">
        <v>157</v>
      </c>
      <c r="H21" s="50"/>
      <c r="I21" s="50"/>
      <c r="J21" s="50"/>
      <c r="K21" s="165"/>
      <c r="L21" s="23"/>
      <c r="M21" s="139"/>
      <c r="AE21" s="332" t="s">
        <v>214</v>
      </c>
      <c r="AF21" s="335">
        <f>D14*75</f>
        <v>0</v>
      </c>
      <c r="AH21" s="329" t="s">
        <v>225</v>
      </c>
      <c r="AI21" s="118"/>
      <c r="AJ21" s="118"/>
      <c r="AK21" s="118" t="s">
        <v>225</v>
      </c>
      <c r="AL21" s="168"/>
      <c r="AQ21" s="178"/>
      <c r="AR21" s="178"/>
      <c r="AS21" s="178"/>
      <c r="AT21" s="171"/>
      <c r="AU21" s="177"/>
      <c r="AV21" s="177"/>
      <c r="AW21" s="177"/>
      <c r="AX21" s="177"/>
    </row>
    <row r="22" spans="1:50" ht="15" customHeight="1">
      <c r="A22" s="23"/>
      <c r="B22" s="16"/>
      <c r="C22" s="17" t="s">
        <v>12</v>
      </c>
      <c r="D22" s="213">
        <f>IF(D15&lt;&gt;0,D15*AL15,D16*AL15)</f>
        <v>0</v>
      </c>
      <c r="E22" s="17" t="s">
        <v>162</v>
      </c>
      <c r="F22" s="40"/>
      <c r="G22" s="156"/>
      <c r="H22" s="49" t="s">
        <v>13</v>
      </c>
      <c r="I22" s="227">
        <f>IF(I15&lt;&gt;0,I15*AM16,I16*AM16)</f>
        <v>0</v>
      </c>
      <c r="J22" s="49" t="s">
        <v>162</v>
      </c>
      <c r="K22" s="157"/>
      <c r="L22" s="23"/>
      <c r="M22" s="139"/>
      <c r="AH22" s="329" t="s">
        <v>226</v>
      </c>
      <c r="AI22" s="118">
        <v>1.6</v>
      </c>
      <c r="AJ22" s="118"/>
      <c r="AK22" s="118" t="s">
        <v>229</v>
      </c>
      <c r="AL22" s="168">
        <v>2.8</v>
      </c>
      <c r="AQ22" s="178"/>
      <c r="AR22" s="178"/>
      <c r="AS22" s="178"/>
      <c r="AT22" s="171"/>
      <c r="AU22" s="177"/>
      <c r="AV22" s="177"/>
      <c r="AW22" s="177"/>
      <c r="AX22" s="177"/>
    </row>
    <row r="23" spans="1:50" ht="15" customHeight="1">
      <c r="A23" s="23"/>
      <c r="B23" s="35"/>
      <c r="C23" s="17" t="s">
        <v>142</v>
      </c>
      <c r="D23" s="213">
        <f>IF(D18&lt;&gt;0,(D18*VLOOKUP(D31,AK6:AM17,2,FALSE)),(VLOOKUP(D31,AE6:AG14,2,FALSE)*VLOOKUP(D31,AK6:AM17,2,FALSE)))</f>
        <v>237.83540090861288</v>
      </c>
      <c r="E23" s="17" t="s">
        <v>162</v>
      </c>
      <c r="F23" s="40"/>
      <c r="G23" s="166"/>
      <c r="H23" s="159" t="s">
        <v>168</v>
      </c>
      <c r="I23" s="227">
        <f>IF(I18&lt;&gt;0,I18*AM17,I19*AM17)</f>
        <v>136.2629953412552</v>
      </c>
      <c r="J23" s="49" t="s">
        <v>162</v>
      </c>
      <c r="K23" s="157"/>
      <c r="L23" s="23"/>
      <c r="M23" s="139"/>
      <c r="AH23" s="340" t="s">
        <v>227</v>
      </c>
      <c r="AI23" s="177">
        <v>1.5</v>
      </c>
      <c r="AJ23" s="177"/>
      <c r="AK23" s="118" t="s">
        <v>230</v>
      </c>
      <c r="AL23" s="328">
        <v>2.7</v>
      </c>
      <c r="AM23" s="177"/>
      <c r="AN23" s="177"/>
      <c r="AO23" s="177"/>
      <c r="AQ23" s="172"/>
      <c r="AR23" s="172"/>
      <c r="AS23" s="172"/>
      <c r="AT23" s="172"/>
      <c r="AU23" s="177"/>
      <c r="AV23" s="177"/>
      <c r="AW23" s="177"/>
      <c r="AX23" s="177"/>
    </row>
    <row r="24" spans="1:50" ht="15" customHeight="1">
      <c r="A24" s="23"/>
      <c r="B24" s="16" t="s">
        <v>3</v>
      </c>
      <c r="C24" s="36" t="s">
        <v>144</v>
      </c>
      <c r="D24" s="211">
        <v>0.02125</v>
      </c>
      <c r="E24" s="152" t="s">
        <v>146</v>
      </c>
      <c r="F24" s="42"/>
      <c r="G24" s="156"/>
      <c r="H24" s="53" t="s">
        <v>144</v>
      </c>
      <c r="I24" s="264">
        <f>D24</f>
        <v>0.02125</v>
      </c>
      <c r="J24" s="167" t="s">
        <v>146</v>
      </c>
      <c r="K24" s="165"/>
      <c r="L24" s="23"/>
      <c r="M24" s="139"/>
      <c r="AE24" s="336" t="s">
        <v>246</v>
      </c>
      <c r="AF24" s="338"/>
      <c r="AH24" s="340" t="s">
        <v>228</v>
      </c>
      <c r="AI24" s="177">
        <v>1.1</v>
      </c>
      <c r="AJ24" s="177"/>
      <c r="AK24" s="177" t="s">
        <v>231</v>
      </c>
      <c r="AL24" s="328">
        <v>2.4</v>
      </c>
      <c r="AM24" s="177"/>
      <c r="AN24" s="177"/>
      <c r="AO24" s="177"/>
      <c r="AQ24" s="172"/>
      <c r="AR24" s="172"/>
      <c r="AS24" s="172"/>
      <c r="AT24" s="172"/>
      <c r="AU24" s="177"/>
      <c r="AV24" s="177"/>
      <c r="AW24" s="177"/>
      <c r="AX24" s="177"/>
    </row>
    <row r="25" spans="1:50" ht="17.25" customHeight="1">
      <c r="A25" s="23"/>
      <c r="B25" s="32"/>
      <c r="C25" s="36" t="s">
        <v>145</v>
      </c>
      <c r="D25" s="232">
        <f>D22+D23</f>
        <v>237.83540090861288</v>
      </c>
      <c r="E25" s="36" t="s">
        <v>162</v>
      </c>
      <c r="F25" s="41"/>
      <c r="G25" s="162"/>
      <c r="H25" s="53" t="s">
        <v>145</v>
      </c>
      <c r="I25" s="238">
        <f>I22+I23</f>
        <v>136.2629953412552</v>
      </c>
      <c r="J25" s="53" t="s">
        <v>162</v>
      </c>
      <c r="K25" s="163"/>
      <c r="L25" s="23"/>
      <c r="M25" s="139"/>
      <c r="AE25" s="326" t="s">
        <v>218</v>
      </c>
      <c r="AF25" s="168"/>
      <c r="AH25" s="341"/>
      <c r="AI25" s="177"/>
      <c r="AJ25" s="177"/>
      <c r="AK25" s="270"/>
      <c r="AL25" s="328"/>
      <c r="AM25" s="177"/>
      <c r="AN25" s="177"/>
      <c r="AO25" s="177"/>
      <c r="AQ25" s="184"/>
      <c r="AR25" s="184"/>
      <c r="AS25" s="184"/>
      <c r="AT25" s="174"/>
      <c r="AU25" s="177"/>
      <c r="AV25" s="177"/>
      <c r="AW25" s="177"/>
      <c r="AX25" s="177"/>
    </row>
    <row r="26" spans="1:50" ht="15" customHeight="1">
      <c r="A26" s="23"/>
      <c r="B26" s="34" t="s">
        <v>147</v>
      </c>
      <c r="C26" s="18"/>
      <c r="D26" s="18"/>
      <c r="E26" s="18"/>
      <c r="F26" s="42"/>
      <c r="G26" s="164" t="s">
        <v>147</v>
      </c>
      <c r="H26" s="50"/>
      <c r="I26" s="50"/>
      <c r="J26" s="50"/>
      <c r="K26" s="165"/>
      <c r="L26" s="23"/>
      <c r="M26" s="139"/>
      <c r="AE26" s="329" t="s">
        <v>220</v>
      </c>
      <c r="AF26" s="168">
        <v>300</v>
      </c>
      <c r="AH26" s="341" t="s">
        <v>222</v>
      </c>
      <c r="AI26" s="177"/>
      <c r="AJ26" s="189"/>
      <c r="AK26" s="270" t="s">
        <v>222</v>
      </c>
      <c r="AL26" s="342"/>
      <c r="AM26" s="130"/>
      <c r="AN26" s="177"/>
      <c r="AO26" s="177"/>
      <c r="AQ26" s="173"/>
      <c r="AR26" s="173"/>
      <c r="AS26" s="173"/>
      <c r="AT26" s="170"/>
      <c r="AU26" s="177"/>
      <c r="AV26" s="177"/>
      <c r="AW26" s="177"/>
      <c r="AX26" s="177"/>
    </row>
    <row r="27" spans="1:50" ht="15" customHeight="1">
      <c r="A27" s="23"/>
      <c r="B27" s="29"/>
      <c r="C27" s="17" t="s">
        <v>12</v>
      </c>
      <c r="D27" s="213">
        <f>IF(D15&lt;&gt;0,AO15,AO15)</f>
        <v>0</v>
      </c>
      <c r="E27" s="17" t="s">
        <v>162</v>
      </c>
      <c r="F27" s="40"/>
      <c r="G27" s="158"/>
      <c r="H27" s="49" t="s">
        <v>13</v>
      </c>
      <c r="I27" s="227">
        <f>IF(I15&lt;&gt;0,AP16,AP16)</f>
        <v>0</v>
      </c>
      <c r="J27" s="49" t="s">
        <v>162</v>
      </c>
      <c r="K27" s="157"/>
      <c r="L27" s="23"/>
      <c r="M27" s="139"/>
      <c r="AE27" s="329"/>
      <c r="AF27" s="168"/>
      <c r="AH27" s="343" t="s">
        <v>223</v>
      </c>
      <c r="AI27" s="177">
        <f>IF(Gesamtenergiebilanz!D31="N",1,0)</f>
        <v>1</v>
      </c>
      <c r="AJ27" s="189"/>
      <c r="AK27" s="133" t="s">
        <v>224</v>
      </c>
      <c r="AL27" s="328">
        <f>IF(Gesamtenergiebilanz!D31="J",1,0)</f>
        <v>0</v>
      </c>
      <c r="AM27" s="130"/>
      <c r="AN27" s="177"/>
      <c r="AO27" s="177"/>
      <c r="AQ27" s="178"/>
      <c r="AR27" s="178"/>
      <c r="AS27" s="178"/>
      <c r="AT27" s="171"/>
      <c r="AU27" s="177"/>
      <c r="AV27" s="177"/>
      <c r="AW27" s="177"/>
      <c r="AX27" s="177"/>
    </row>
    <row r="28" spans="1:50" ht="15" customHeight="1">
      <c r="A28" s="23"/>
      <c r="B28" s="29"/>
      <c r="C28" s="36" t="s">
        <v>142</v>
      </c>
      <c r="D28" s="232">
        <f>VLOOKUP(D31,AE6:AG14,2,FALSE)*VLOOKUP(D31,AN6:AP14,2,FALSE)</f>
        <v>90.82871787716648</v>
      </c>
      <c r="E28" s="36" t="s">
        <v>162</v>
      </c>
      <c r="F28" s="40"/>
      <c r="G28" s="158"/>
      <c r="H28" s="161" t="s">
        <v>168</v>
      </c>
      <c r="I28" s="233">
        <f>IF(I18&lt;&gt;0,I18*AP17,I19*AP17)</f>
        <v>30</v>
      </c>
      <c r="J28" s="53" t="s">
        <v>162</v>
      </c>
      <c r="K28" s="157"/>
      <c r="L28" s="23"/>
      <c r="M28" s="139"/>
      <c r="AE28" s="326" t="s">
        <v>219</v>
      </c>
      <c r="AF28" s="168"/>
      <c r="AH28" s="343" t="s">
        <v>215</v>
      </c>
      <c r="AI28" s="177">
        <f>IF(AF21&gt;2000,AF21*AI24,IF(AF21&gt;800,AF21*AI23,AF21*AI22))</f>
        <v>0</v>
      </c>
      <c r="AJ28" s="189"/>
      <c r="AK28" s="271" t="s">
        <v>215</v>
      </c>
      <c r="AL28" s="328">
        <f>IF(AF21&gt;2000,AF21*AL24,IF(AF21&gt;800,AF21*AL23,AF21*AL22))</f>
        <v>0</v>
      </c>
      <c r="AM28" s="130"/>
      <c r="AN28" s="177"/>
      <c r="AO28" s="177"/>
      <c r="AQ28" s="178"/>
      <c r="AR28" s="178"/>
      <c r="AS28" s="178"/>
      <c r="AT28" s="171"/>
      <c r="AU28" s="177"/>
      <c r="AV28" s="177"/>
      <c r="AW28" s="177"/>
      <c r="AX28" s="177"/>
    </row>
    <row r="29" spans="1:50" ht="15" customHeight="1">
      <c r="A29" s="23"/>
      <c r="B29" s="29"/>
      <c r="C29" s="30" t="s">
        <v>148</v>
      </c>
      <c r="D29" s="213">
        <f>D27+D28</f>
        <v>90.82871787716648</v>
      </c>
      <c r="E29" s="17" t="s">
        <v>162</v>
      </c>
      <c r="F29" s="40"/>
      <c r="G29" s="158"/>
      <c r="H29" s="159" t="s">
        <v>148</v>
      </c>
      <c r="I29" s="239">
        <f>I27+I28</f>
        <v>30</v>
      </c>
      <c r="J29" s="49" t="s">
        <v>162</v>
      </c>
      <c r="K29" s="157"/>
      <c r="L29" s="23"/>
      <c r="M29" s="139"/>
      <c r="AD29" s="2"/>
      <c r="AE29" s="332" t="s">
        <v>221</v>
      </c>
      <c r="AF29" s="335">
        <v>3960</v>
      </c>
      <c r="AH29" s="344" t="s">
        <v>312</v>
      </c>
      <c r="AI29" s="345">
        <f>IF(AI27=1,AI28,AL28)</f>
        <v>0</v>
      </c>
      <c r="AJ29" s="346"/>
      <c r="AK29" s="347"/>
      <c r="AL29" s="348"/>
      <c r="AM29" s="130"/>
      <c r="AN29" s="177"/>
      <c r="AO29" s="177"/>
      <c r="AQ29" s="172"/>
      <c r="AR29" s="172"/>
      <c r="AS29" s="172"/>
      <c r="AT29" s="172"/>
      <c r="AU29" s="177"/>
      <c r="AV29" s="177"/>
      <c r="AW29" s="177"/>
      <c r="AX29" s="177"/>
    </row>
    <row r="30" spans="1:50" ht="15" customHeight="1">
      <c r="A30" s="23"/>
      <c r="B30" s="32"/>
      <c r="C30" s="33"/>
      <c r="D30" s="33"/>
      <c r="E30" s="33"/>
      <c r="F30" s="41"/>
      <c r="G30" s="162"/>
      <c r="H30" s="51"/>
      <c r="I30" s="51"/>
      <c r="J30" s="51"/>
      <c r="K30" s="163"/>
      <c r="L30" s="23"/>
      <c r="M30" s="139"/>
      <c r="AH30" s="177"/>
      <c r="AI30" s="177"/>
      <c r="AJ30" s="189"/>
      <c r="AK30" s="133"/>
      <c r="AL30" s="131"/>
      <c r="AM30" s="130"/>
      <c r="AN30" s="177"/>
      <c r="AO30" s="177"/>
      <c r="AQ30" s="184"/>
      <c r="AR30" s="184"/>
      <c r="AS30" s="184"/>
      <c r="AT30" s="174"/>
      <c r="AU30" s="177"/>
      <c r="AV30" s="177"/>
      <c r="AW30" s="177"/>
      <c r="AX30" s="177"/>
    </row>
    <row r="31" spans="1:50" ht="15" customHeight="1">
      <c r="A31" s="23"/>
      <c r="B31" s="34" t="s">
        <v>156</v>
      </c>
      <c r="C31" s="18"/>
      <c r="D31" s="432" t="str">
        <f>Gesamtenergiebilanz!D38</f>
        <v>Heizöl-(Brennwert)kessel</v>
      </c>
      <c r="E31" s="433"/>
      <c r="F31" s="42"/>
      <c r="G31" s="164" t="s">
        <v>156</v>
      </c>
      <c r="H31" s="50"/>
      <c r="I31" s="263" t="str">
        <f>Gesamtenergiebilanz!M38</f>
        <v>Wasserkraft</v>
      </c>
      <c r="J31" s="312"/>
      <c r="K31" s="165"/>
      <c r="L31" s="23"/>
      <c r="M31" s="139"/>
      <c r="AE31" s="1"/>
      <c r="AH31" s="282"/>
      <c r="AI31" s="177"/>
      <c r="AJ31" s="189"/>
      <c r="AK31" s="133"/>
      <c r="AL31" s="131"/>
      <c r="AM31" s="130"/>
      <c r="AN31" s="177"/>
      <c r="AO31" s="177"/>
      <c r="AQ31" s="173"/>
      <c r="AR31" s="173"/>
      <c r="AS31" s="173"/>
      <c r="AT31" s="173"/>
      <c r="AU31" s="177"/>
      <c r="AV31" s="177"/>
      <c r="AW31" s="177"/>
      <c r="AX31" s="177"/>
    </row>
    <row r="32" spans="1:50" ht="15" customHeight="1">
      <c r="A32" s="23"/>
      <c r="B32" s="72"/>
      <c r="C32" s="17" t="s">
        <v>149</v>
      </c>
      <c r="D32" s="224">
        <f>Gesamtenergiebilanz!D42</f>
        <v>8450</v>
      </c>
      <c r="E32" s="17" t="s">
        <v>152</v>
      </c>
      <c r="F32" s="42"/>
      <c r="G32" s="154"/>
      <c r="H32" s="49" t="s">
        <v>149</v>
      </c>
      <c r="I32" s="225">
        <f>Gesamtenergiebilanz!L42</f>
        <v>3250</v>
      </c>
      <c r="J32" s="49" t="s">
        <v>152</v>
      </c>
      <c r="K32" s="165"/>
      <c r="L32" s="23"/>
      <c r="M32" s="139"/>
      <c r="AE32" s="322" t="s">
        <v>294</v>
      </c>
      <c r="AF32" s="323" t="s">
        <v>302</v>
      </c>
      <c r="AG32" s="323" t="s">
        <v>303</v>
      </c>
      <c r="AH32" s="324" t="s">
        <v>304</v>
      </c>
      <c r="AI32" s="324"/>
      <c r="AJ32" s="325" t="s">
        <v>310</v>
      </c>
      <c r="AK32" s="350" t="s">
        <v>139</v>
      </c>
      <c r="AL32" s="130"/>
      <c r="AM32" s="130"/>
      <c r="AN32" s="177"/>
      <c r="AO32" s="177"/>
      <c r="AQ32" s="178"/>
      <c r="AR32" s="178"/>
      <c r="AS32" s="178"/>
      <c r="AT32" s="171"/>
      <c r="AU32" s="177"/>
      <c r="AV32" s="177"/>
      <c r="AW32" s="177"/>
      <c r="AX32" s="177"/>
    </row>
    <row r="33" spans="1:50" ht="15" customHeight="1">
      <c r="A33" s="23"/>
      <c r="B33" s="16" t="s">
        <v>3</v>
      </c>
      <c r="C33" s="17" t="s">
        <v>150</v>
      </c>
      <c r="D33" s="226">
        <v>0.07</v>
      </c>
      <c r="E33" s="17" t="s">
        <v>153</v>
      </c>
      <c r="F33" s="40"/>
      <c r="G33" s="156" t="s">
        <v>3</v>
      </c>
      <c r="H33" s="49" t="s">
        <v>150</v>
      </c>
      <c r="I33" s="226">
        <v>0.1735752</v>
      </c>
      <c r="J33" s="49" t="s">
        <v>153</v>
      </c>
      <c r="K33" s="157"/>
      <c r="L33" s="23"/>
      <c r="M33" s="139"/>
      <c r="AE33" s="326" t="s">
        <v>309</v>
      </c>
      <c r="AF33" s="327">
        <f>IF(AH46&lt;&gt;0,AH46,AH47)</f>
        <v>5.633333333333334</v>
      </c>
      <c r="AG33" s="118"/>
      <c r="AH33" s="177"/>
      <c r="AI33" s="177"/>
      <c r="AJ33" s="177"/>
      <c r="AK33" s="328"/>
      <c r="AL33" s="177"/>
      <c r="AM33" s="177"/>
      <c r="AN33" s="177"/>
      <c r="AO33" s="177"/>
      <c r="AQ33" s="178"/>
      <c r="AR33" s="178"/>
      <c r="AS33" s="178"/>
      <c r="AT33" s="171"/>
      <c r="AU33" s="177"/>
      <c r="AV33" s="177"/>
      <c r="AW33" s="177"/>
      <c r="AX33" s="177"/>
    </row>
    <row r="34" spans="1:50" ht="15" customHeight="1">
      <c r="A34" s="23"/>
      <c r="B34" s="35"/>
      <c r="C34" s="17">
        <f>IF(D34&lt;&gt;"","Überschuss","")</f>
      </c>
      <c r="D34" s="224">
        <f>IF(Gesamtenergiebilanz!D44&lt;&gt;"",Gesamtenergiebilanz!D44,"")</f>
      </c>
      <c r="E34" s="17">
        <f>IF(D34&lt;&gt;"","kWh","")</f>
      </c>
      <c r="F34" s="40"/>
      <c r="G34" s="166"/>
      <c r="H34" s="49">
        <f>IF(I34&lt;&gt;"","Überschuss","")</f>
      </c>
      <c r="I34" s="225">
        <f>IF(Gesamtenergiebilanz!L44&lt;&gt;"",Gesamtenergiebilanz!L44,"")</f>
      </c>
      <c r="J34" s="49">
        <f>IF(I34&lt;&gt;"","kWh","")</f>
      </c>
      <c r="K34" s="157"/>
      <c r="L34" s="23"/>
      <c r="M34" s="139"/>
      <c r="AE34" s="329" t="s">
        <v>295</v>
      </c>
      <c r="AF34" s="327">
        <v>106</v>
      </c>
      <c r="AG34" s="118"/>
      <c r="AH34" s="177">
        <v>9575</v>
      </c>
      <c r="AI34" s="177"/>
      <c r="AJ34" s="177"/>
      <c r="AK34" s="330">
        <f>AH34+(AF34*$AF$33)</f>
        <v>10172.133333333333</v>
      </c>
      <c r="AL34" s="177"/>
      <c r="AM34" s="177"/>
      <c r="AN34" s="177"/>
      <c r="AO34" s="177"/>
      <c r="AQ34" s="172"/>
      <c r="AR34" s="172"/>
      <c r="AS34" s="172"/>
      <c r="AT34" s="172"/>
      <c r="AU34" s="177"/>
      <c r="AV34" s="177"/>
      <c r="AW34" s="177"/>
      <c r="AX34" s="177"/>
    </row>
    <row r="35" spans="1:50" ht="15" customHeight="1">
      <c r="A35" s="23"/>
      <c r="B35" s="16" t="s">
        <v>3</v>
      </c>
      <c r="C35" s="36" t="s">
        <v>151</v>
      </c>
      <c r="D35" s="226">
        <v>0</v>
      </c>
      <c r="E35" s="36" t="s">
        <v>153</v>
      </c>
      <c r="F35" s="40"/>
      <c r="G35" s="156" t="s">
        <v>3</v>
      </c>
      <c r="H35" s="53" t="s">
        <v>151</v>
      </c>
      <c r="I35" s="226">
        <v>0.38</v>
      </c>
      <c r="J35" s="53" t="s">
        <v>153</v>
      </c>
      <c r="K35" s="157"/>
      <c r="L35" s="23"/>
      <c r="M35" s="139"/>
      <c r="AE35" s="329" t="s">
        <v>296</v>
      </c>
      <c r="AF35" s="327">
        <v>75</v>
      </c>
      <c r="AG35" s="118"/>
      <c r="AH35" s="118">
        <v>14552</v>
      </c>
      <c r="AI35" s="118"/>
      <c r="AJ35" s="118"/>
      <c r="AK35" s="330">
        <f>AH35+(AF35*$AF$33)</f>
        <v>14974.5</v>
      </c>
      <c r="AQ35" s="184"/>
      <c r="AR35" s="184"/>
      <c r="AS35" s="184"/>
      <c r="AT35" s="174"/>
      <c r="AU35" s="177"/>
      <c r="AV35" s="177"/>
      <c r="AW35" s="177"/>
      <c r="AX35" s="177"/>
    </row>
    <row r="36" spans="1:50" ht="15" customHeight="1">
      <c r="A36" s="23"/>
      <c r="B36" s="72"/>
      <c r="C36" s="220" t="s">
        <v>155</v>
      </c>
      <c r="D36" s="229">
        <f>(D32*D33)-IF(D34&lt;&gt;"",(D34*D35),0)</f>
        <v>591.5</v>
      </c>
      <c r="E36" s="17" t="s">
        <v>162</v>
      </c>
      <c r="F36" s="40"/>
      <c r="G36" s="154"/>
      <c r="H36" s="221" t="s">
        <v>155</v>
      </c>
      <c r="I36" s="214">
        <f>(I32*I33)-IF(I34&lt;&gt;"",(I34*I35),0)</f>
        <v>564.1194</v>
      </c>
      <c r="J36" s="49" t="s">
        <v>162</v>
      </c>
      <c r="K36" s="157"/>
      <c r="L36" s="23"/>
      <c r="M36" s="139"/>
      <c r="AE36" s="329" t="s">
        <v>117</v>
      </c>
      <c r="AF36" s="327">
        <v>1892</v>
      </c>
      <c r="AG36" s="118">
        <v>-0.81</v>
      </c>
      <c r="AH36" s="118">
        <v>0</v>
      </c>
      <c r="AI36" s="118"/>
      <c r="AJ36" s="118">
        <f>AG36+1</f>
        <v>0.18999999999999995</v>
      </c>
      <c r="AK36" s="331">
        <f>AH36+(AF36*($AF$33^AJ36))</f>
        <v>2627.6442541834704</v>
      </c>
      <c r="AQ36" s="173"/>
      <c r="AR36" s="173"/>
      <c r="AS36" s="173"/>
      <c r="AT36" s="173"/>
      <c r="AU36" s="177"/>
      <c r="AV36" s="177"/>
      <c r="AW36" s="177"/>
      <c r="AX36" s="177"/>
    </row>
    <row r="37" spans="1:50" ht="15" customHeight="1">
      <c r="A37" s="23"/>
      <c r="B37" s="32"/>
      <c r="C37" s="17">
        <f>IF(D29&lt;0,"Überschuss:","")</f>
      </c>
      <c r="D37" s="47">
        <f>IF(D29&lt;0,D29*-1,"")</f>
      </c>
      <c r="E37" s="17">
        <f>IF(D37&lt;&gt;"",E35,"")</f>
      </c>
      <c r="F37" s="42"/>
      <c r="G37" s="162"/>
      <c r="H37" s="49">
        <f>IF(I29&lt;0,"Überschuss:","")</f>
      </c>
      <c r="I37" s="62">
        <f>IF(I29&lt;0,I29*-1,"")</f>
      </c>
      <c r="J37" s="49">
        <f>IF(I37&lt;&gt;"",J35,"")</f>
      </c>
      <c r="K37" s="165"/>
      <c r="L37" s="23"/>
      <c r="M37" s="139"/>
      <c r="AE37" s="329" t="s">
        <v>297</v>
      </c>
      <c r="AF37" s="327">
        <v>2180</v>
      </c>
      <c r="AG37" s="118">
        <v>-0.81</v>
      </c>
      <c r="AH37" s="118">
        <v>0</v>
      </c>
      <c r="AI37" s="118"/>
      <c r="AJ37" s="118">
        <f>AG37+1</f>
        <v>0.18999999999999995</v>
      </c>
      <c r="AK37" s="331">
        <f>AH37+(AF37*($AF$33^AJ37))</f>
        <v>3027.6239292388827</v>
      </c>
      <c r="AQ37" s="178"/>
      <c r="AR37" s="178"/>
      <c r="AS37" s="178"/>
      <c r="AT37" s="171"/>
      <c r="AU37" s="177"/>
      <c r="AV37" s="177"/>
      <c r="AW37" s="177"/>
      <c r="AX37" s="177"/>
    </row>
    <row r="38" spans="1:50" ht="15" customHeight="1">
      <c r="A38" s="23"/>
      <c r="B38" s="198" t="s">
        <v>158</v>
      </c>
      <c r="C38" s="199"/>
      <c r="D38" s="200"/>
      <c r="E38" s="199"/>
      <c r="F38" s="208"/>
      <c r="G38" s="198" t="s">
        <v>158</v>
      </c>
      <c r="H38" s="199"/>
      <c r="I38" s="200"/>
      <c r="J38" s="199"/>
      <c r="K38" s="201"/>
      <c r="L38" s="23"/>
      <c r="M38" s="139"/>
      <c r="AE38" s="329" t="s">
        <v>298</v>
      </c>
      <c r="AF38" s="327">
        <v>4731</v>
      </c>
      <c r="AG38" s="118">
        <v>-0.734</v>
      </c>
      <c r="AH38" s="118">
        <v>0</v>
      </c>
      <c r="AI38" s="118"/>
      <c r="AJ38" s="118">
        <f>AG38+1</f>
        <v>0.266</v>
      </c>
      <c r="AK38" s="331">
        <f>AH38+(AF38*($AF$33^AJ38))</f>
        <v>7493.014236070937</v>
      </c>
      <c r="AQ38" s="178"/>
      <c r="AR38" s="178"/>
      <c r="AS38" s="178"/>
      <c r="AT38" s="171"/>
      <c r="AU38" s="177"/>
      <c r="AV38" s="177"/>
      <c r="AW38" s="177"/>
      <c r="AX38" s="177"/>
    </row>
    <row r="39" spans="1:50" ht="15" customHeight="1">
      <c r="A39" s="23"/>
      <c r="B39" s="198"/>
      <c r="C39" s="4" t="s">
        <v>160</v>
      </c>
      <c r="D39" s="284">
        <f>Gesamtenergiebilanz!D46</f>
        <v>2627.95</v>
      </c>
      <c r="E39" s="4" t="s">
        <v>34</v>
      </c>
      <c r="F39" s="209"/>
      <c r="G39" s="207"/>
      <c r="H39" s="4" t="s">
        <v>160</v>
      </c>
      <c r="I39" s="284">
        <f>Gesamtenergiebilanz!L46</f>
        <v>22.75</v>
      </c>
      <c r="J39" s="4" t="s">
        <v>34</v>
      </c>
      <c r="K39" s="202"/>
      <c r="L39" s="23"/>
      <c r="M39" s="139"/>
      <c r="AE39" s="329" t="s">
        <v>299</v>
      </c>
      <c r="AF39" s="327">
        <v>5451</v>
      </c>
      <c r="AG39" s="118">
        <v>-0.773</v>
      </c>
      <c r="AH39" s="118">
        <v>0</v>
      </c>
      <c r="AI39" s="118"/>
      <c r="AJ39" s="118">
        <f>AG39+1</f>
        <v>0.22699999999999998</v>
      </c>
      <c r="AK39" s="331">
        <f>AH39+(AF39*($AF$33^AJ39))</f>
        <v>8070.490658411139</v>
      </c>
      <c r="AQ39" s="172"/>
      <c r="AR39" s="172"/>
      <c r="AS39" s="172"/>
      <c r="AT39" s="172"/>
      <c r="AU39" s="177"/>
      <c r="AV39" s="177"/>
      <c r="AW39" s="177"/>
      <c r="AX39" s="177"/>
    </row>
    <row r="40" spans="1:50" ht="15" customHeight="1">
      <c r="A40" s="23"/>
      <c r="B40" s="6"/>
      <c r="C40" s="203" t="s">
        <v>159</v>
      </c>
      <c r="D40" s="226">
        <v>35</v>
      </c>
      <c r="E40" s="203" t="s">
        <v>176</v>
      </c>
      <c r="F40" s="209"/>
      <c r="G40" s="7"/>
      <c r="H40" s="203" t="s">
        <v>159</v>
      </c>
      <c r="I40" s="240">
        <f>D40</f>
        <v>35</v>
      </c>
      <c r="J40" s="203" t="s">
        <v>176</v>
      </c>
      <c r="K40" s="202"/>
      <c r="L40" s="23"/>
      <c r="M40" s="139"/>
      <c r="AE40" s="329" t="s">
        <v>300</v>
      </c>
      <c r="AF40" s="327">
        <f>AF33/7.5</f>
        <v>0.7511111111111112</v>
      </c>
      <c r="AG40" s="118">
        <v>0.78</v>
      </c>
      <c r="AH40" s="118">
        <v>8880</v>
      </c>
      <c r="AI40" s="118"/>
      <c r="AJ40" s="118">
        <f>1-AG40</f>
        <v>0.21999999999999997</v>
      </c>
      <c r="AK40" s="331">
        <f>AH40*(AF40^AJ40)</f>
        <v>8338.115118087426</v>
      </c>
      <c r="AQ40" s="172"/>
      <c r="AR40" s="172"/>
      <c r="AS40" s="172"/>
      <c r="AT40" s="172"/>
      <c r="AU40" s="177"/>
      <c r="AV40" s="177"/>
      <c r="AW40" s="177"/>
      <c r="AX40" s="177"/>
    </row>
    <row r="41" spans="1:50" ht="15" customHeight="1">
      <c r="A41" s="23"/>
      <c r="B41" s="428"/>
      <c r="C41" s="4" t="s">
        <v>154</v>
      </c>
      <c r="D41" s="285">
        <f>(D39/1000)*D40</f>
        <v>91.97824999999999</v>
      </c>
      <c r="E41" s="4" t="s">
        <v>162</v>
      </c>
      <c r="F41" s="209"/>
      <c r="G41" s="430"/>
      <c r="H41" s="4" t="s">
        <v>154</v>
      </c>
      <c r="I41" s="285">
        <f>(I39/1000)*I40</f>
        <v>0.79625</v>
      </c>
      <c r="J41" s="4" t="s">
        <v>162</v>
      </c>
      <c r="K41" s="202"/>
      <c r="L41" s="23"/>
      <c r="M41" s="139"/>
      <c r="AE41" s="329" t="s">
        <v>301</v>
      </c>
      <c r="AF41" s="327">
        <v>467</v>
      </c>
      <c r="AG41" s="118">
        <v>-0.406</v>
      </c>
      <c r="AH41" s="118">
        <v>0</v>
      </c>
      <c r="AI41" s="118"/>
      <c r="AJ41" s="118">
        <f>AG41+1</f>
        <v>0.594</v>
      </c>
      <c r="AK41" s="331">
        <f>AH41+(AF41*($AF$33^AJ41))</f>
        <v>1303.98188383547</v>
      </c>
      <c r="AQ41" s="172"/>
      <c r="AR41" s="172"/>
      <c r="AS41" s="172"/>
      <c r="AT41" s="172"/>
      <c r="AU41" s="177"/>
      <c r="AV41" s="177"/>
      <c r="AW41" s="177"/>
      <c r="AX41" s="177"/>
    </row>
    <row r="42" spans="1:50" ht="13.5" customHeight="1" thickBot="1">
      <c r="A42" s="23"/>
      <c r="B42" s="429"/>
      <c r="C42" s="204"/>
      <c r="D42" s="205"/>
      <c r="E42" s="204"/>
      <c r="F42" s="210"/>
      <c r="G42" s="431"/>
      <c r="H42" s="204"/>
      <c r="I42" s="205"/>
      <c r="J42" s="204"/>
      <c r="K42" s="206"/>
      <c r="L42" s="23"/>
      <c r="M42" s="139"/>
      <c r="AE42" s="329"/>
      <c r="AF42" s="118"/>
      <c r="AG42" s="118"/>
      <c r="AH42" s="118"/>
      <c r="AI42" s="118"/>
      <c r="AJ42" s="118"/>
      <c r="AK42" s="168"/>
      <c r="AQ42" s="172"/>
      <c r="AR42" s="172"/>
      <c r="AS42" s="172"/>
      <c r="AT42" s="172"/>
      <c r="AU42" s="177"/>
      <c r="AV42" s="177"/>
      <c r="AW42" s="177"/>
      <c r="AX42" s="177"/>
    </row>
    <row r="43" spans="1:50" ht="12.75" customHeight="1">
      <c r="A43" s="23"/>
      <c r="B43" s="70"/>
      <c r="C43" s="66"/>
      <c r="D43" s="421"/>
      <c r="E43" s="421"/>
      <c r="F43" s="421"/>
      <c r="G43" s="421"/>
      <c r="H43" s="422"/>
      <c r="I43" s="421"/>
      <c r="J43" s="421"/>
      <c r="K43" s="67"/>
      <c r="L43" s="23"/>
      <c r="M43" s="139"/>
      <c r="AE43" s="329"/>
      <c r="AF43" s="118"/>
      <c r="AG43" s="118"/>
      <c r="AH43" s="118"/>
      <c r="AI43" s="118"/>
      <c r="AJ43" s="118"/>
      <c r="AK43" s="168"/>
      <c r="AQ43" s="183"/>
      <c r="AR43" s="183"/>
      <c r="AS43" s="183"/>
      <c r="AT43" s="172"/>
      <c r="AU43" s="177"/>
      <c r="AV43" s="177"/>
      <c r="AW43" s="177"/>
      <c r="AX43" s="177"/>
    </row>
    <row r="44" spans="1:50" ht="12.75" customHeight="1">
      <c r="A44" s="23"/>
      <c r="B44" s="112"/>
      <c r="C44" s="68"/>
      <c r="D44" s="354"/>
      <c r="E44" s="354"/>
      <c r="F44" s="354"/>
      <c r="G44" s="354"/>
      <c r="H44" s="355"/>
      <c r="I44" s="354"/>
      <c r="J44" s="354"/>
      <c r="K44" s="69"/>
      <c r="L44" s="23"/>
      <c r="M44" s="139"/>
      <c r="AE44" s="329"/>
      <c r="AF44" s="118"/>
      <c r="AG44" s="118"/>
      <c r="AH44" s="118"/>
      <c r="AI44" s="118"/>
      <c r="AJ44" s="118"/>
      <c r="AK44" s="168"/>
      <c r="AQ44" s="183"/>
      <c r="AR44" s="183"/>
      <c r="AS44" s="183"/>
      <c r="AT44" s="172"/>
      <c r="AU44" s="177"/>
      <c r="AV44" s="177"/>
      <c r="AW44" s="177"/>
      <c r="AX44" s="177"/>
    </row>
    <row r="45" spans="1:50" ht="18" customHeight="1">
      <c r="A45" s="23"/>
      <c r="B45" s="241" t="str">
        <f>IF(C45&gt;0,"Gesamtkosten Wärme","Gesamtertrag Wärme")</f>
        <v>Gesamtkosten Wärme</v>
      </c>
      <c r="C45" s="286">
        <f>D25+D29+D36</f>
        <v>920.1641187857794</v>
      </c>
      <c r="D45" s="242" t="s">
        <v>162</v>
      </c>
      <c r="E45" s="68"/>
      <c r="F45" s="68"/>
      <c r="G45" s="68"/>
      <c r="H45" s="68"/>
      <c r="I45" s="68"/>
      <c r="J45" s="68"/>
      <c r="K45" s="69"/>
      <c r="L45" s="23"/>
      <c r="M45" s="139"/>
      <c r="AE45" s="329" t="s">
        <v>305</v>
      </c>
      <c r="AF45" s="118"/>
      <c r="AG45" s="118"/>
      <c r="AH45" s="118" t="s">
        <v>307</v>
      </c>
      <c r="AI45" s="118"/>
      <c r="AJ45" s="118"/>
      <c r="AK45" s="168"/>
      <c r="AQ45" s="172"/>
      <c r="AR45" s="172"/>
      <c r="AS45" s="172"/>
      <c r="AT45" s="172"/>
      <c r="AU45" s="177"/>
      <c r="AV45" s="177"/>
      <c r="AW45" s="177"/>
      <c r="AX45" s="177"/>
    </row>
    <row r="46" spans="1:50" ht="17.25" customHeight="1">
      <c r="A46" s="23"/>
      <c r="B46" s="243" t="str">
        <f>IF(C46&gt;0,"Gesamtkosten Strom","Gesamtertrag Strom")</f>
        <v>Gesamtkosten Strom</v>
      </c>
      <c r="C46" s="287">
        <f>I25+I29+I36</f>
        <v>730.3823953412552</v>
      </c>
      <c r="D46" s="244" t="s">
        <v>162</v>
      </c>
      <c r="E46" s="113"/>
      <c r="F46" s="68"/>
      <c r="G46" s="68"/>
      <c r="H46" s="68"/>
      <c r="I46" s="68"/>
      <c r="J46" s="68"/>
      <c r="K46" s="69"/>
      <c r="L46" s="23"/>
      <c r="M46" s="139"/>
      <c r="AE46" s="329" t="s">
        <v>311</v>
      </c>
      <c r="AF46" s="327">
        <f>IF(Gesamtenergiebilanz!L40&lt;&gt;"",Gesamtenergiebilanz!L40*Gesamtenergiebilanz!D39,0)</f>
        <v>0</v>
      </c>
      <c r="AG46" s="118" t="s">
        <v>152</v>
      </c>
      <c r="AH46" s="327">
        <f>AF46/1500</f>
        <v>0</v>
      </c>
      <c r="AI46" s="118" t="s">
        <v>308</v>
      </c>
      <c r="AJ46" s="118"/>
      <c r="AK46" s="168"/>
      <c r="AQ46" s="185"/>
      <c r="AR46" s="185"/>
      <c r="AS46" s="185"/>
      <c r="AT46" s="172"/>
      <c r="AU46" s="177"/>
      <c r="AV46" s="177"/>
      <c r="AW46" s="177"/>
      <c r="AX46" s="177"/>
    </row>
    <row r="47" spans="1:50" ht="15.75">
      <c r="A47" s="24"/>
      <c r="B47" s="109" t="str">
        <f>IF(C47&gt;0,"Gesamtkosten pro Jahr","Gesamtertrag pro Jahr")</f>
        <v>Gesamtkosten pro Jahr</v>
      </c>
      <c r="C47" s="288">
        <f>C45+C46</f>
        <v>1650.5465141270347</v>
      </c>
      <c r="D47" s="111" t="s">
        <v>162</v>
      </c>
      <c r="E47" s="64"/>
      <c r="F47" s="64"/>
      <c r="G47" s="64"/>
      <c r="H47" s="64"/>
      <c r="I47" s="64"/>
      <c r="J47" s="64"/>
      <c r="K47" s="65"/>
      <c r="L47" s="23"/>
      <c r="M47" s="139"/>
      <c r="AE47" s="332" t="s">
        <v>306</v>
      </c>
      <c r="AF47" s="333">
        <f>Gesamtenergiebilanz!D42</f>
        <v>8450</v>
      </c>
      <c r="AG47" s="334" t="s">
        <v>152</v>
      </c>
      <c r="AH47" s="333">
        <f>AF47/1500</f>
        <v>5.633333333333334</v>
      </c>
      <c r="AI47" s="334" t="s">
        <v>308</v>
      </c>
      <c r="AJ47" s="334"/>
      <c r="AK47" s="335"/>
      <c r="AQ47" s="172"/>
      <c r="AR47" s="172"/>
      <c r="AS47" s="172"/>
      <c r="AT47" s="172"/>
      <c r="AU47" s="177"/>
      <c r="AV47" s="177"/>
      <c r="AW47" s="177"/>
      <c r="AX47" s="177"/>
    </row>
    <row r="48" spans="1:50" ht="15.75">
      <c r="A48" s="24"/>
      <c r="B48" s="109"/>
      <c r="C48" s="288"/>
      <c r="D48" s="111"/>
      <c r="E48" s="64"/>
      <c r="F48" s="64"/>
      <c r="G48" s="64"/>
      <c r="H48" s="64"/>
      <c r="I48" s="64"/>
      <c r="J48" s="64"/>
      <c r="K48" s="65"/>
      <c r="L48" s="23"/>
      <c r="M48" s="139"/>
      <c r="AQ48" s="172"/>
      <c r="AR48" s="172"/>
      <c r="AS48" s="172"/>
      <c r="AT48" s="172"/>
      <c r="AU48" s="177"/>
      <c r="AV48" s="177"/>
      <c r="AW48" s="177"/>
      <c r="AX48" s="177"/>
    </row>
    <row r="49" spans="1:50" ht="12.75" customHeight="1">
      <c r="A49" s="23"/>
      <c r="B49" s="109" t="str">
        <f>IF(C49&gt;0,"Externe Kosten","Vermiedene externe Kosten")</f>
        <v>Externe Kosten</v>
      </c>
      <c r="C49" s="289">
        <f>D41+I41</f>
        <v>92.77449999999999</v>
      </c>
      <c r="D49" s="111" t="s">
        <v>162</v>
      </c>
      <c r="E49" s="108"/>
      <c r="F49" s="68"/>
      <c r="G49" s="68"/>
      <c r="H49" s="68"/>
      <c r="I49" s="68"/>
      <c r="J49" s="68"/>
      <c r="K49" s="69"/>
      <c r="L49" s="23"/>
      <c r="M49" s="139"/>
      <c r="AQ49" s="172"/>
      <c r="AR49" s="172"/>
      <c r="AS49" s="172"/>
      <c r="AT49" s="172"/>
      <c r="AU49" s="177"/>
      <c r="AV49" s="177"/>
      <c r="AW49" s="177"/>
      <c r="AX49" s="177"/>
    </row>
    <row r="50" spans="1:50" ht="12.75" customHeight="1">
      <c r="A50" s="24"/>
      <c r="B50" s="109"/>
      <c r="C50" s="110"/>
      <c r="D50" s="111"/>
      <c r="E50" s="108"/>
      <c r="F50" s="64"/>
      <c r="G50" s="64"/>
      <c r="H50" s="64"/>
      <c r="I50" s="64"/>
      <c r="J50" s="409"/>
      <c r="K50" s="410"/>
      <c r="L50" s="23"/>
      <c r="M50" s="139"/>
      <c r="AQ50" s="172"/>
      <c r="AR50" s="172"/>
      <c r="AS50" s="172"/>
      <c r="AT50" s="172"/>
      <c r="AU50" s="177"/>
      <c r="AV50" s="177"/>
      <c r="AW50" s="177"/>
      <c r="AX50" s="177"/>
    </row>
    <row r="51" spans="1:50" ht="12.75" customHeight="1">
      <c r="A51" s="24"/>
      <c r="B51" s="411"/>
      <c r="C51" s="412"/>
      <c r="D51" s="412"/>
      <c r="E51" s="412"/>
      <c r="F51" s="64"/>
      <c r="G51" s="64"/>
      <c r="H51" s="64"/>
      <c r="I51" s="64"/>
      <c r="J51" s="409"/>
      <c r="K51" s="410"/>
      <c r="L51" s="23"/>
      <c r="M51" s="139"/>
      <c r="AQ51" s="179"/>
      <c r="AR51" s="179"/>
      <c r="AS51" s="179"/>
      <c r="AT51" s="172"/>
      <c r="AU51" s="175"/>
      <c r="AV51" s="175"/>
      <c r="AW51" s="175"/>
      <c r="AX51" s="175"/>
    </row>
    <row r="52" spans="1:50" ht="12.75" customHeight="1">
      <c r="A52" s="24"/>
      <c r="B52" s="140" t="s">
        <v>131</v>
      </c>
      <c r="C52" s="108"/>
      <c r="D52" s="108"/>
      <c r="E52" s="108"/>
      <c r="F52" s="64"/>
      <c r="G52" s="64"/>
      <c r="H52" s="64"/>
      <c r="I52" s="64"/>
      <c r="J52" s="71"/>
      <c r="K52" s="141"/>
      <c r="L52" s="23"/>
      <c r="M52" s="139"/>
      <c r="AQ52" s="186"/>
      <c r="AR52" s="186"/>
      <c r="AS52" s="186"/>
      <c r="AT52" s="172"/>
      <c r="AU52" s="175"/>
      <c r="AV52" s="175"/>
      <c r="AW52" s="175"/>
      <c r="AX52" s="175"/>
    </row>
    <row r="53" spans="1:50" ht="12.75" customHeight="1">
      <c r="A53" s="24"/>
      <c r="B53" s="21" t="s">
        <v>242</v>
      </c>
      <c r="C53" s="9"/>
      <c r="D53" s="9"/>
      <c r="E53" s="9"/>
      <c r="F53" s="9"/>
      <c r="G53" s="10"/>
      <c r="H53" s="10"/>
      <c r="I53" s="10"/>
      <c r="J53" s="10"/>
      <c r="K53" s="11"/>
      <c r="L53" s="23"/>
      <c r="M53" s="139"/>
      <c r="AQ53" s="179"/>
      <c r="AR53" s="176"/>
      <c r="AS53" s="107"/>
      <c r="AT53" s="172"/>
      <c r="AU53" s="175"/>
      <c r="AV53" s="175"/>
      <c r="AW53" s="175"/>
      <c r="AX53" s="175"/>
    </row>
    <row r="54" spans="1:50" ht="12.75" customHeight="1">
      <c r="A54" s="24"/>
      <c r="B54" s="21" t="s">
        <v>243</v>
      </c>
      <c r="C54" s="9"/>
      <c r="D54" s="9"/>
      <c r="E54" s="9"/>
      <c r="F54" s="9"/>
      <c r="G54" s="10"/>
      <c r="H54" s="10"/>
      <c r="I54" s="10"/>
      <c r="J54" s="10"/>
      <c r="K54" s="11"/>
      <c r="L54" s="23"/>
      <c r="M54" s="139"/>
      <c r="AQ54" s="179"/>
      <c r="AR54" s="176"/>
      <c r="AS54" s="107"/>
      <c r="AT54" s="172"/>
      <c r="AU54" s="175"/>
      <c r="AV54" s="175"/>
      <c r="AW54" s="175"/>
      <c r="AX54" s="175"/>
    </row>
    <row r="55" spans="1:50" ht="12.75" customHeight="1">
      <c r="A55" s="24"/>
      <c r="B55" s="21" t="s">
        <v>203</v>
      </c>
      <c r="C55" s="9"/>
      <c r="D55" s="9"/>
      <c r="E55" s="9"/>
      <c r="F55" s="9"/>
      <c r="G55" s="10"/>
      <c r="H55" s="10"/>
      <c r="I55" s="10"/>
      <c r="J55" s="10"/>
      <c r="K55" s="11"/>
      <c r="L55" s="23"/>
      <c r="M55" s="139"/>
      <c r="AQ55" s="179"/>
      <c r="AR55" s="176"/>
      <c r="AS55" s="107"/>
      <c r="AT55" s="172"/>
      <c r="AU55" s="175"/>
      <c r="AV55" s="175"/>
      <c r="AW55" s="175"/>
      <c r="AX55" s="175"/>
    </row>
    <row r="56" spans="1:50" ht="12.75" customHeight="1">
      <c r="A56" s="24"/>
      <c r="B56" s="21" t="s">
        <v>202</v>
      </c>
      <c r="C56" s="9"/>
      <c r="D56" s="9"/>
      <c r="E56" s="9"/>
      <c r="F56" s="9"/>
      <c r="G56" s="10"/>
      <c r="H56" s="10"/>
      <c r="I56" s="10"/>
      <c r="J56" s="10"/>
      <c r="K56" s="11"/>
      <c r="L56" s="23"/>
      <c r="M56" s="139"/>
      <c r="AQ56" s="179"/>
      <c r="AR56" s="176"/>
      <c r="AS56" s="107"/>
      <c r="AT56" s="172"/>
      <c r="AU56" s="175"/>
      <c r="AV56" s="175"/>
      <c r="AW56" s="175"/>
      <c r="AX56" s="175"/>
    </row>
    <row r="57" spans="1:50" ht="12.75" customHeight="1">
      <c r="A57" s="24"/>
      <c r="B57" s="21"/>
      <c r="C57" s="9"/>
      <c r="D57" s="9"/>
      <c r="E57" s="9"/>
      <c r="F57" s="9"/>
      <c r="G57" s="10"/>
      <c r="H57" s="10"/>
      <c r="I57" s="10"/>
      <c r="J57" s="10"/>
      <c r="K57" s="11"/>
      <c r="L57" s="23"/>
      <c r="M57" s="139"/>
      <c r="AQ57" s="179"/>
      <c r="AR57" s="176"/>
      <c r="AS57" s="107"/>
      <c r="AT57" s="172"/>
      <c r="AU57" s="175"/>
      <c r="AV57" s="175"/>
      <c r="AW57" s="175"/>
      <c r="AX57" s="175"/>
    </row>
    <row r="58" spans="1:50" ht="12.75" customHeight="1">
      <c r="A58" s="24"/>
      <c r="B58" s="222" t="s">
        <v>178</v>
      </c>
      <c r="C58" s="9"/>
      <c r="D58" s="9"/>
      <c r="E58" s="9"/>
      <c r="F58" s="9"/>
      <c r="G58" s="10"/>
      <c r="H58" s="10"/>
      <c r="I58" s="10"/>
      <c r="J58" s="10"/>
      <c r="K58" s="11"/>
      <c r="L58" s="23"/>
      <c r="M58" s="139"/>
      <c r="AQ58" s="179"/>
      <c r="AR58" s="176"/>
      <c r="AS58" s="107"/>
      <c r="AT58" s="172"/>
      <c r="AU58" s="175"/>
      <c r="AV58" s="175"/>
      <c r="AW58" s="175"/>
      <c r="AX58" s="175"/>
    </row>
    <row r="59" spans="1:50" ht="12.75" customHeight="1">
      <c r="A59" s="24"/>
      <c r="B59" s="21"/>
      <c r="C59" s="9"/>
      <c r="D59" s="9"/>
      <c r="E59" s="9"/>
      <c r="F59" s="9"/>
      <c r="G59" s="10"/>
      <c r="H59" s="10"/>
      <c r="I59" s="10"/>
      <c r="J59" s="10"/>
      <c r="K59" s="11"/>
      <c r="L59" s="23"/>
      <c r="M59" s="139"/>
      <c r="AQ59" s="179"/>
      <c r="AR59" s="176"/>
      <c r="AS59" s="107"/>
      <c r="AT59" s="172"/>
      <c r="AU59" s="175"/>
      <c r="AV59" s="175"/>
      <c r="AW59" s="175"/>
      <c r="AX59" s="175"/>
    </row>
    <row r="60" spans="1:50" ht="12.75" customHeight="1">
      <c r="A60" s="24"/>
      <c r="B60" s="21" t="s">
        <v>179</v>
      </c>
      <c r="C60" s="9"/>
      <c r="D60" s="9"/>
      <c r="E60" s="9"/>
      <c r="F60" s="9"/>
      <c r="G60" s="10"/>
      <c r="H60" s="10"/>
      <c r="I60" s="10"/>
      <c r="J60" s="10"/>
      <c r="K60" s="11"/>
      <c r="L60" s="23"/>
      <c r="M60" s="139"/>
      <c r="AQ60" s="179"/>
      <c r="AR60" s="176"/>
      <c r="AS60" s="107"/>
      <c r="AT60" s="172"/>
      <c r="AU60" s="175"/>
      <c r="AV60" s="175"/>
      <c r="AW60" s="175"/>
      <c r="AX60" s="175"/>
    </row>
    <row r="61" spans="1:50" ht="12.75" customHeight="1">
      <c r="A61" s="24"/>
      <c r="B61" s="21" t="s">
        <v>180</v>
      </c>
      <c r="C61" s="9"/>
      <c r="D61" s="9"/>
      <c r="E61" s="9"/>
      <c r="F61" s="9"/>
      <c r="G61" s="10"/>
      <c r="H61" s="10"/>
      <c r="I61" s="10"/>
      <c r="J61" s="10"/>
      <c r="K61" s="11"/>
      <c r="L61" s="23"/>
      <c r="M61" s="139"/>
      <c r="AQ61" s="179"/>
      <c r="AR61" s="176"/>
      <c r="AS61" s="107"/>
      <c r="AT61" s="172"/>
      <c r="AU61" s="175"/>
      <c r="AV61" s="175"/>
      <c r="AW61" s="175"/>
      <c r="AX61" s="175"/>
    </row>
    <row r="62" spans="1:50" ht="12.75" customHeight="1">
      <c r="A62" s="24"/>
      <c r="B62" s="21" t="s">
        <v>187</v>
      </c>
      <c r="C62" s="9"/>
      <c r="D62" s="9"/>
      <c r="E62" s="9"/>
      <c r="F62" s="9"/>
      <c r="G62" s="10"/>
      <c r="H62" s="10"/>
      <c r="I62" s="10"/>
      <c r="J62" s="10"/>
      <c r="K62" s="11"/>
      <c r="L62" s="23"/>
      <c r="M62" s="139"/>
      <c r="AQ62" s="179"/>
      <c r="AR62" s="176"/>
      <c r="AS62" s="107"/>
      <c r="AT62" s="172"/>
      <c r="AU62" s="175"/>
      <c r="AV62" s="175"/>
      <c r="AW62" s="175"/>
      <c r="AX62" s="175"/>
    </row>
    <row r="63" spans="1:50" ht="12.75" customHeight="1">
      <c r="A63" s="24"/>
      <c r="B63" s="21" t="s">
        <v>186</v>
      </c>
      <c r="C63" s="9"/>
      <c r="D63" s="9"/>
      <c r="E63" s="9"/>
      <c r="F63" s="9"/>
      <c r="G63" s="10"/>
      <c r="H63" s="10"/>
      <c r="I63" s="10"/>
      <c r="J63" s="10"/>
      <c r="K63" s="11"/>
      <c r="L63" s="23"/>
      <c r="M63" s="139"/>
      <c r="AQ63" s="179"/>
      <c r="AR63" s="176"/>
      <c r="AS63" s="107"/>
      <c r="AT63" s="172"/>
      <c r="AU63" s="175"/>
      <c r="AV63" s="175"/>
      <c r="AW63" s="175"/>
      <c r="AX63" s="175"/>
    </row>
    <row r="64" spans="1:50" ht="12.75" customHeight="1">
      <c r="A64" s="24"/>
      <c r="B64" s="21"/>
      <c r="C64" s="9"/>
      <c r="D64" s="9"/>
      <c r="E64" s="9"/>
      <c r="F64" s="9"/>
      <c r="G64" s="10"/>
      <c r="H64" s="10"/>
      <c r="I64" s="10"/>
      <c r="J64" s="10"/>
      <c r="K64" s="11"/>
      <c r="L64" s="23"/>
      <c r="M64" s="139"/>
      <c r="AQ64" s="179"/>
      <c r="AR64" s="176"/>
      <c r="AS64" s="107"/>
      <c r="AT64" s="172"/>
      <c r="AU64" s="175"/>
      <c r="AV64" s="175"/>
      <c r="AW64" s="175"/>
      <c r="AX64" s="175"/>
    </row>
    <row r="65" spans="1:50" ht="12.75" customHeight="1">
      <c r="A65" s="24"/>
      <c r="B65" s="21" t="s">
        <v>181</v>
      </c>
      <c r="C65" s="9"/>
      <c r="D65" s="9"/>
      <c r="E65" s="9"/>
      <c r="F65" s="9"/>
      <c r="G65" s="10"/>
      <c r="H65" s="10"/>
      <c r="I65" s="10"/>
      <c r="J65" s="10"/>
      <c r="K65" s="11"/>
      <c r="L65" s="23"/>
      <c r="M65" s="139"/>
      <c r="AQ65" s="179"/>
      <c r="AR65" s="176"/>
      <c r="AS65" s="107"/>
      <c r="AT65" s="172"/>
      <c r="AU65" s="175"/>
      <c r="AV65" s="175"/>
      <c r="AW65" s="175"/>
      <c r="AX65" s="175"/>
    </row>
    <row r="66" spans="1:50" ht="12.75" customHeight="1">
      <c r="A66" s="24"/>
      <c r="B66" s="21" t="s">
        <v>182</v>
      </c>
      <c r="C66" s="9"/>
      <c r="D66" s="9"/>
      <c r="E66" s="9"/>
      <c r="F66" s="9"/>
      <c r="G66" s="10"/>
      <c r="H66" s="10"/>
      <c r="I66" s="10"/>
      <c r="J66" s="10"/>
      <c r="K66" s="11"/>
      <c r="L66" s="23"/>
      <c r="M66" s="139"/>
      <c r="AQ66" s="179"/>
      <c r="AR66" s="176"/>
      <c r="AS66" s="107"/>
      <c r="AT66" s="172"/>
      <c r="AU66" s="175"/>
      <c r="AV66" s="175"/>
      <c r="AW66" s="175"/>
      <c r="AX66" s="175"/>
    </row>
    <row r="67" spans="1:50" ht="12.75" customHeight="1">
      <c r="A67" s="24"/>
      <c r="B67" s="21" t="s">
        <v>183</v>
      </c>
      <c r="C67" s="9"/>
      <c r="D67" s="9"/>
      <c r="E67" s="9"/>
      <c r="F67" s="9"/>
      <c r="G67" s="10"/>
      <c r="H67" s="10"/>
      <c r="I67" s="10"/>
      <c r="J67" s="10"/>
      <c r="K67" s="11"/>
      <c r="L67" s="23"/>
      <c r="M67" s="139"/>
      <c r="AQ67" s="179"/>
      <c r="AR67" s="176"/>
      <c r="AS67" s="107"/>
      <c r="AT67" s="172"/>
      <c r="AU67" s="175"/>
      <c r="AV67" s="175"/>
      <c r="AW67" s="175"/>
      <c r="AX67" s="175"/>
    </row>
    <row r="68" spans="1:50" ht="12.75" customHeight="1">
      <c r="A68" s="24"/>
      <c r="B68" s="21" t="s">
        <v>188</v>
      </c>
      <c r="C68" s="9"/>
      <c r="D68" s="9"/>
      <c r="E68" s="9"/>
      <c r="F68" s="9"/>
      <c r="G68" s="10"/>
      <c r="H68" s="10"/>
      <c r="I68" s="10"/>
      <c r="J68" s="10"/>
      <c r="K68" s="11"/>
      <c r="L68" s="23"/>
      <c r="M68" s="139"/>
      <c r="AQ68" s="179"/>
      <c r="AR68" s="176"/>
      <c r="AS68" s="107"/>
      <c r="AT68" s="172"/>
      <c r="AU68" s="175"/>
      <c r="AV68" s="175"/>
      <c r="AW68" s="175"/>
      <c r="AX68" s="175"/>
    </row>
    <row r="69" spans="1:50" ht="12.75" customHeight="1">
      <c r="A69" s="24"/>
      <c r="B69" s="223" t="s">
        <v>189</v>
      </c>
      <c r="C69" s="9"/>
      <c r="D69" s="9"/>
      <c r="E69" s="9"/>
      <c r="F69" s="9"/>
      <c r="G69" s="10"/>
      <c r="H69" s="10"/>
      <c r="I69" s="10"/>
      <c r="J69" s="10"/>
      <c r="K69" s="11"/>
      <c r="L69" s="23"/>
      <c r="M69" s="139"/>
      <c r="AQ69" s="179"/>
      <c r="AR69" s="176"/>
      <c r="AS69" s="107"/>
      <c r="AT69" s="172"/>
      <c r="AU69" s="175"/>
      <c r="AV69" s="175"/>
      <c r="AW69" s="175"/>
      <c r="AX69" s="175"/>
    </row>
    <row r="70" spans="1:50" ht="12.75" customHeight="1">
      <c r="A70" s="24"/>
      <c r="B70" s="21" t="s">
        <v>195</v>
      </c>
      <c r="C70" s="9"/>
      <c r="D70" s="9"/>
      <c r="E70" s="9"/>
      <c r="F70" s="9"/>
      <c r="G70" s="10"/>
      <c r="H70" s="10"/>
      <c r="I70" s="10"/>
      <c r="J70" s="10"/>
      <c r="K70" s="11"/>
      <c r="L70" s="23"/>
      <c r="M70" s="139"/>
      <c r="AQ70" s="179"/>
      <c r="AR70" s="176"/>
      <c r="AS70" s="107"/>
      <c r="AT70" s="172"/>
      <c r="AU70" s="175"/>
      <c r="AV70" s="175"/>
      <c r="AW70" s="175"/>
      <c r="AX70" s="175"/>
    </row>
    <row r="71" spans="1:50" ht="12.75" customHeight="1">
      <c r="A71" s="24"/>
      <c r="B71" s="21" t="s">
        <v>184</v>
      </c>
      <c r="C71" s="9"/>
      <c r="D71" s="9"/>
      <c r="E71" s="9"/>
      <c r="F71" s="9"/>
      <c r="G71" s="10"/>
      <c r="H71" s="10"/>
      <c r="I71" s="10"/>
      <c r="J71" s="10"/>
      <c r="K71" s="11"/>
      <c r="L71" s="23"/>
      <c r="M71" s="139"/>
      <c r="AQ71" s="179"/>
      <c r="AR71" s="176"/>
      <c r="AS71" s="107"/>
      <c r="AT71" s="172"/>
      <c r="AU71" s="175"/>
      <c r="AV71" s="175"/>
      <c r="AW71" s="175"/>
      <c r="AX71" s="175"/>
    </row>
    <row r="72" spans="1:50" ht="12.75" customHeight="1">
      <c r="A72" s="24"/>
      <c r="B72" s="21"/>
      <c r="C72" s="9"/>
      <c r="D72" s="9"/>
      <c r="E72" s="9"/>
      <c r="F72" s="9"/>
      <c r="G72" s="10"/>
      <c r="H72" s="10"/>
      <c r="I72" s="10"/>
      <c r="J72" s="10"/>
      <c r="K72" s="11"/>
      <c r="L72" s="23"/>
      <c r="M72" s="139"/>
      <c r="AQ72" s="179"/>
      <c r="AR72" s="176"/>
      <c r="AS72" s="107"/>
      <c r="AT72" s="172"/>
      <c r="AU72" s="175"/>
      <c r="AV72" s="175"/>
      <c r="AW72" s="175"/>
      <c r="AX72" s="175"/>
    </row>
    <row r="73" spans="1:50" ht="12.75" customHeight="1">
      <c r="A73" s="24"/>
      <c r="B73" s="21" t="s">
        <v>190</v>
      </c>
      <c r="C73" s="9"/>
      <c r="D73" s="9"/>
      <c r="E73" s="9"/>
      <c r="F73" s="9"/>
      <c r="G73" s="10"/>
      <c r="H73" s="10"/>
      <c r="I73" s="10"/>
      <c r="J73" s="10"/>
      <c r="K73" s="11"/>
      <c r="L73" s="23"/>
      <c r="M73" s="139"/>
      <c r="AQ73" s="179"/>
      <c r="AR73" s="176"/>
      <c r="AS73" s="107"/>
      <c r="AT73" s="172"/>
      <c r="AU73" s="175"/>
      <c r="AV73" s="175"/>
      <c r="AW73" s="175"/>
      <c r="AX73" s="175"/>
    </row>
    <row r="74" spans="1:50" ht="12.75" customHeight="1">
      <c r="A74" s="24"/>
      <c r="B74" s="223" t="s">
        <v>196</v>
      </c>
      <c r="C74" s="9"/>
      <c r="D74" s="9"/>
      <c r="E74" s="9"/>
      <c r="F74" s="9"/>
      <c r="G74" s="10"/>
      <c r="H74" s="10"/>
      <c r="I74" s="10"/>
      <c r="J74" s="10"/>
      <c r="K74" s="11"/>
      <c r="L74" s="23"/>
      <c r="M74" s="139"/>
      <c r="AQ74" s="179"/>
      <c r="AR74" s="176"/>
      <c r="AS74" s="107"/>
      <c r="AT74" s="172"/>
      <c r="AU74" s="175"/>
      <c r="AV74" s="175"/>
      <c r="AW74" s="175"/>
      <c r="AX74" s="175"/>
    </row>
    <row r="75" spans="1:50" ht="12.75" customHeight="1">
      <c r="A75" s="24"/>
      <c r="B75" s="21" t="s">
        <v>191</v>
      </c>
      <c r="C75" s="9"/>
      <c r="D75" s="9"/>
      <c r="E75" s="9"/>
      <c r="F75" s="9"/>
      <c r="G75" s="10"/>
      <c r="H75" s="10"/>
      <c r="I75" s="10"/>
      <c r="J75" s="10"/>
      <c r="K75" s="11"/>
      <c r="L75" s="23"/>
      <c r="M75" s="139"/>
      <c r="AQ75" s="179"/>
      <c r="AR75" s="176"/>
      <c r="AS75" s="107"/>
      <c r="AT75" s="172"/>
      <c r="AU75" s="175"/>
      <c r="AV75" s="175"/>
      <c r="AW75" s="175"/>
      <c r="AX75" s="175"/>
    </row>
    <row r="76" spans="1:50" ht="12.75" customHeight="1">
      <c r="A76" s="24"/>
      <c r="B76" s="21" t="s">
        <v>197</v>
      </c>
      <c r="C76" s="9"/>
      <c r="D76" s="9"/>
      <c r="E76" s="9"/>
      <c r="F76" s="9"/>
      <c r="G76" s="10"/>
      <c r="H76" s="10"/>
      <c r="I76" s="10"/>
      <c r="J76" s="10"/>
      <c r="K76" s="11"/>
      <c r="L76" s="23"/>
      <c r="M76" s="139"/>
      <c r="AQ76" s="179"/>
      <c r="AR76" s="176"/>
      <c r="AS76" s="107"/>
      <c r="AT76" s="172"/>
      <c r="AU76" s="175"/>
      <c r="AV76" s="175"/>
      <c r="AW76" s="175"/>
      <c r="AX76" s="175"/>
    </row>
    <row r="77" spans="1:50" ht="12.75" customHeight="1">
      <c r="A77" s="24"/>
      <c r="B77" s="21" t="s">
        <v>192</v>
      </c>
      <c r="C77" s="9"/>
      <c r="D77" s="9"/>
      <c r="E77" s="9"/>
      <c r="F77" s="9"/>
      <c r="G77" s="10"/>
      <c r="H77" s="10"/>
      <c r="I77" s="10"/>
      <c r="J77" s="10"/>
      <c r="K77" s="11"/>
      <c r="L77" s="23"/>
      <c r="M77" s="139"/>
      <c r="AQ77" s="179"/>
      <c r="AR77" s="176"/>
      <c r="AS77" s="107"/>
      <c r="AT77" s="172"/>
      <c r="AU77" s="175"/>
      <c r="AV77" s="175"/>
      <c r="AW77" s="175"/>
      <c r="AX77" s="175"/>
    </row>
    <row r="78" spans="1:50" ht="12.75" customHeight="1">
      <c r="A78" s="24"/>
      <c r="B78" s="21"/>
      <c r="C78" s="9"/>
      <c r="D78" s="9"/>
      <c r="E78" s="9"/>
      <c r="F78" s="9"/>
      <c r="G78" s="10"/>
      <c r="H78" s="10"/>
      <c r="I78" s="10"/>
      <c r="J78" s="10"/>
      <c r="K78" s="11"/>
      <c r="L78" s="23"/>
      <c r="M78" s="139"/>
      <c r="AQ78" s="179"/>
      <c r="AR78" s="176"/>
      <c r="AS78" s="107"/>
      <c r="AT78" s="172"/>
      <c r="AU78" s="175"/>
      <c r="AV78" s="175"/>
      <c r="AW78" s="175"/>
      <c r="AX78" s="175"/>
    </row>
    <row r="79" spans="1:50" ht="12.75" customHeight="1">
      <c r="A79" s="24"/>
      <c r="B79" s="21" t="s">
        <v>198</v>
      </c>
      <c r="C79" s="9"/>
      <c r="D79" s="9"/>
      <c r="E79" s="9"/>
      <c r="F79" s="9"/>
      <c r="G79" s="10"/>
      <c r="H79" s="10"/>
      <c r="I79" s="10"/>
      <c r="J79" s="10"/>
      <c r="K79" s="11"/>
      <c r="L79" s="23"/>
      <c r="M79" s="139"/>
      <c r="AQ79" s="179"/>
      <c r="AR79" s="176"/>
      <c r="AS79" s="107"/>
      <c r="AT79" s="172"/>
      <c r="AU79" s="175"/>
      <c r="AV79" s="175"/>
      <c r="AW79" s="175"/>
      <c r="AX79" s="175"/>
    </row>
    <row r="80" spans="1:50" ht="12.75" customHeight="1">
      <c r="A80" s="24"/>
      <c r="B80" s="21" t="s">
        <v>193</v>
      </c>
      <c r="C80" s="9"/>
      <c r="D80" s="9"/>
      <c r="E80" s="9"/>
      <c r="F80" s="9"/>
      <c r="G80" s="10"/>
      <c r="H80" s="10"/>
      <c r="I80" s="10"/>
      <c r="J80" s="10"/>
      <c r="K80" s="11"/>
      <c r="L80" s="23"/>
      <c r="M80" s="139"/>
      <c r="AQ80" s="179"/>
      <c r="AR80" s="176"/>
      <c r="AS80" s="107"/>
      <c r="AT80" s="172"/>
      <c r="AU80" s="175"/>
      <c r="AV80" s="175"/>
      <c r="AW80" s="175"/>
      <c r="AX80" s="175"/>
    </row>
    <row r="81" spans="1:50" ht="12.75" customHeight="1">
      <c r="A81" s="24"/>
      <c r="B81" s="21"/>
      <c r="C81" s="9"/>
      <c r="D81" s="9"/>
      <c r="E81" s="9"/>
      <c r="F81" s="9"/>
      <c r="G81" s="10"/>
      <c r="H81" s="10"/>
      <c r="I81" s="10"/>
      <c r="J81" s="10"/>
      <c r="K81" s="11"/>
      <c r="L81" s="23"/>
      <c r="M81" s="139"/>
      <c r="AQ81" s="179"/>
      <c r="AR81" s="176"/>
      <c r="AS81" s="107"/>
      <c r="AT81" s="172"/>
      <c r="AU81" s="175"/>
      <c r="AV81" s="175"/>
      <c r="AW81" s="175"/>
      <c r="AX81" s="175"/>
    </row>
    <row r="82" spans="1:50" ht="12.75" customHeight="1">
      <c r="A82" s="24"/>
      <c r="B82" s="21" t="s">
        <v>199</v>
      </c>
      <c r="C82" s="9"/>
      <c r="D82" s="9"/>
      <c r="E82" s="9"/>
      <c r="F82" s="9"/>
      <c r="G82" s="10"/>
      <c r="H82" s="10"/>
      <c r="I82" s="10"/>
      <c r="J82" s="10"/>
      <c r="K82" s="11"/>
      <c r="L82" s="23"/>
      <c r="M82" s="139"/>
      <c r="AQ82" s="179"/>
      <c r="AR82" s="176"/>
      <c r="AS82" s="107"/>
      <c r="AT82" s="172"/>
      <c r="AU82" s="175"/>
      <c r="AV82" s="175"/>
      <c r="AW82" s="175"/>
      <c r="AX82" s="175"/>
    </row>
    <row r="83" spans="1:50" ht="12.75" customHeight="1">
      <c r="A83" s="24"/>
      <c r="B83" s="21" t="s">
        <v>185</v>
      </c>
      <c r="C83" s="9"/>
      <c r="D83" s="9"/>
      <c r="E83" s="9"/>
      <c r="F83" s="9"/>
      <c r="G83" s="10"/>
      <c r="H83" s="10"/>
      <c r="I83" s="10"/>
      <c r="J83" s="10"/>
      <c r="K83" s="11"/>
      <c r="L83" s="23"/>
      <c r="M83" s="139"/>
      <c r="AQ83" s="179"/>
      <c r="AR83" s="176"/>
      <c r="AS83" s="107"/>
      <c r="AT83" s="172"/>
      <c r="AU83" s="175"/>
      <c r="AV83" s="175"/>
      <c r="AW83" s="175"/>
      <c r="AX83" s="175"/>
    </row>
    <row r="84" spans="1:50" ht="12.75" customHeight="1" thickBot="1">
      <c r="A84" s="23"/>
      <c r="B84" s="22"/>
      <c r="C84" s="12"/>
      <c r="D84" s="12"/>
      <c r="E84" s="12"/>
      <c r="F84" s="12"/>
      <c r="G84" s="13"/>
      <c r="H84" s="13"/>
      <c r="I84" s="13"/>
      <c r="J84" s="13"/>
      <c r="K84" s="14"/>
      <c r="L84" s="23"/>
      <c r="M84" s="139"/>
      <c r="AQ84" s="179"/>
      <c r="AR84" s="176"/>
      <c r="AS84" s="107"/>
      <c r="AT84" s="172"/>
      <c r="AU84" s="175"/>
      <c r="AV84" s="175"/>
      <c r="AW84" s="175"/>
      <c r="AX84" s="175"/>
    </row>
    <row r="85" spans="1:50" ht="15.75">
      <c r="A85" s="23"/>
      <c r="B85" s="23"/>
      <c r="C85" s="23"/>
      <c r="D85" s="23"/>
      <c r="E85" s="23"/>
      <c r="F85" s="23"/>
      <c r="G85" s="23"/>
      <c r="H85" s="23"/>
      <c r="I85" s="23"/>
      <c r="J85" s="23"/>
      <c r="K85" s="23"/>
      <c r="L85" s="23"/>
      <c r="M85" s="139"/>
      <c r="AQ85" s="179"/>
      <c r="AR85" s="176"/>
      <c r="AS85" s="107"/>
      <c r="AT85" s="172"/>
      <c r="AU85" s="175"/>
      <c r="AV85" s="175"/>
      <c r="AW85" s="175"/>
      <c r="AX85" s="175"/>
    </row>
    <row r="86" spans="1:50" ht="15.75">
      <c r="A86" s="23"/>
      <c r="B86" s="23"/>
      <c r="C86" s="23"/>
      <c r="D86" s="23"/>
      <c r="E86" s="23"/>
      <c r="F86" s="23"/>
      <c r="G86" s="23"/>
      <c r="H86" s="23"/>
      <c r="I86" s="23"/>
      <c r="J86" s="23"/>
      <c r="K86" s="23"/>
      <c r="L86" s="23"/>
      <c r="M86" s="139"/>
      <c r="AQ86" s="179"/>
      <c r="AR86" s="176"/>
      <c r="AS86" s="107"/>
      <c r="AT86" s="172"/>
      <c r="AU86" s="175"/>
      <c r="AV86" s="175"/>
      <c r="AW86" s="175"/>
      <c r="AX86" s="175"/>
    </row>
    <row r="87" spans="1:50" ht="15.75">
      <c r="A87" s="20"/>
      <c r="B87" s="23"/>
      <c r="C87" s="23"/>
      <c r="D87" s="23"/>
      <c r="E87" s="23"/>
      <c r="F87" s="23"/>
      <c r="G87" s="23"/>
      <c r="H87" s="23"/>
      <c r="I87" s="23"/>
      <c r="J87" s="23"/>
      <c r="K87" s="23"/>
      <c r="AQ87" s="179"/>
      <c r="AR87" s="176"/>
      <c r="AS87" s="107"/>
      <c r="AT87" s="172"/>
      <c r="AU87" s="175"/>
      <c r="AV87" s="175"/>
      <c r="AW87" s="175"/>
      <c r="AX87" s="175"/>
    </row>
    <row r="88" spans="43:50" ht="12.75">
      <c r="AQ88" s="172"/>
      <c r="AR88" s="172"/>
      <c r="AS88" s="172"/>
      <c r="AT88" s="172"/>
      <c r="AU88" s="175"/>
      <c r="AV88" s="175"/>
      <c r="AW88" s="175"/>
      <c r="AX88" s="175"/>
    </row>
    <row r="89" spans="43:50" ht="12.75">
      <c r="AQ89" s="172"/>
      <c r="AR89" s="172"/>
      <c r="AS89" s="172"/>
      <c r="AT89" s="172"/>
      <c r="AU89" s="175"/>
      <c r="AV89" s="175"/>
      <c r="AW89" s="175"/>
      <c r="AX89" s="175"/>
    </row>
    <row r="90" spans="43:50" ht="18">
      <c r="AQ90" s="186"/>
      <c r="AR90" s="186"/>
      <c r="AS90" s="186"/>
      <c r="AT90" s="172"/>
      <c r="AU90" s="175"/>
      <c r="AV90" s="175"/>
      <c r="AW90" s="175"/>
      <c r="AX90" s="175"/>
    </row>
    <row r="91" spans="43:50" ht="15">
      <c r="AQ91" s="151"/>
      <c r="AR91" s="176"/>
      <c r="AS91" s="107"/>
      <c r="AT91" s="172"/>
      <c r="AU91" s="175"/>
      <c r="AV91" s="175"/>
      <c r="AW91" s="175"/>
      <c r="AX91" s="175"/>
    </row>
    <row r="92" spans="43:50" ht="15">
      <c r="AQ92" s="151"/>
      <c r="AR92" s="176"/>
      <c r="AS92" s="107"/>
      <c r="AT92" s="172"/>
      <c r="AU92" s="175"/>
      <c r="AV92" s="175"/>
      <c r="AW92" s="175"/>
      <c r="AX92" s="175"/>
    </row>
    <row r="93" spans="43:50" ht="15">
      <c r="AQ93" s="151"/>
      <c r="AR93" s="176"/>
      <c r="AS93" s="107"/>
      <c r="AT93" s="172"/>
      <c r="AU93" s="177"/>
      <c r="AV93" s="177"/>
      <c r="AW93" s="177"/>
      <c r="AX93" s="177"/>
    </row>
    <row r="94" spans="43:50" ht="18">
      <c r="AQ94" s="186"/>
      <c r="AR94" s="186"/>
      <c r="AS94" s="186"/>
      <c r="AT94" s="172"/>
      <c r="AU94" s="177"/>
      <c r="AV94" s="177"/>
      <c r="AW94" s="177"/>
      <c r="AX94" s="177"/>
    </row>
    <row r="95" spans="43:50" ht="15">
      <c r="AQ95" s="151"/>
      <c r="AR95" s="176"/>
      <c r="AS95" s="107"/>
      <c r="AT95" s="172"/>
      <c r="AU95" s="177"/>
      <c r="AV95" s="177"/>
      <c r="AW95" s="177"/>
      <c r="AX95" s="177"/>
    </row>
    <row r="96" spans="43:50" ht="15">
      <c r="AQ96" s="151"/>
      <c r="AR96" s="176"/>
      <c r="AS96" s="107"/>
      <c r="AT96" s="172"/>
      <c r="AU96" s="177"/>
      <c r="AV96" s="177"/>
      <c r="AW96" s="177"/>
      <c r="AX96" s="177"/>
    </row>
    <row r="97" spans="43:50" ht="18">
      <c r="AQ97" s="186"/>
      <c r="AR97" s="186"/>
      <c r="AS97" s="186"/>
      <c r="AT97" s="172"/>
      <c r="AU97" s="177"/>
      <c r="AV97" s="177"/>
      <c r="AW97" s="177"/>
      <c r="AX97" s="177"/>
    </row>
    <row r="98" spans="43:50" ht="15.75">
      <c r="AQ98" s="180"/>
      <c r="AR98" s="107"/>
      <c r="AS98" s="107"/>
      <c r="AT98" s="172"/>
      <c r="AU98" s="177"/>
      <c r="AV98" s="177"/>
      <c r="AW98" s="177"/>
      <c r="AX98" s="177"/>
    </row>
    <row r="99" spans="43:50" ht="12.75">
      <c r="AQ99" s="172"/>
      <c r="AR99" s="172"/>
      <c r="AS99" s="172"/>
      <c r="AT99" s="172"/>
      <c r="AU99" s="177"/>
      <c r="AV99" s="177"/>
      <c r="AW99" s="177"/>
      <c r="AX99" s="177"/>
    </row>
    <row r="100" spans="43:50" ht="15.75">
      <c r="AQ100" s="179"/>
      <c r="AR100" s="179"/>
      <c r="AS100" s="179"/>
      <c r="AT100" s="172"/>
      <c r="AU100" s="177"/>
      <c r="AV100" s="177"/>
      <c r="AW100" s="177"/>
      <c r="AX100" s="177"/>
    </row>
    <row r="101" spans="43:50" ht="15.75">
      <c r="AQ101" s="179"/>
      <c r="AR101" s="151"/>
      <c r="AS101" s="151"/>
      <c r="AT101" s="172"/>
      <c r="AU101" s="177"/>
      <c r="AV101" s="177"/>
      <c r="AW101" s="177"/>
      <c r="AX101" s="177"/>
    </row>
    <row r="102" spans="43:50" ht="12.75">
      <c r="AQ102" s="151"/>
      <c r="AR102" s="151"/>
      <c r="AS102" s="151"/>
      <c r="AT102" s="172"/>
      <c r="AU102" s="177"/>
      <c r="AV102" s="177"/>
      <c r="AW102" s="177"/>
      <c r="AX102" s="177"/>
    </row>
    <row r="103" spans="43:50" ht="15.75">
      <c r="AQ103" s="179"/>
      <c r="AR103" s="151"/>
      <c r="AS103" s="151"/>
      <c r="AT103" s="172"/>
      <c r="AU103" s="177"/>
      <c r="AV103" s="177"/>
      <c r="AW103" s="177"/>
      <c r="AX103" s="177"/>
    </row>
    <row r="104" spans="43:50" ht="12.75">
      <c r="AQ104" s="151"/>
      <c r="AR104" s="151"/>
      <c r="AS104" s="151"/>
      <c r="AT104" s="172"/>
      <c r="AU104" s="177"/>
      <c r="AV104" s="177"/>
      <c r="AW104" s="177"/>
      <c r="AX104" s="177"/>
    </row>
    <row r="105" spans="43:50" ht="15.75">
      <c r="AQ105" s="179"/>
      <c r="AR105" s="151"/>
      <c r="AS105" s="151"/>
      <c r="AT105" s="172"/>
      <c r="AU105" s="177"/>
      <c r="AV105" s="177"/>
      <c r="AW105" s="177"/>
      <c r="AX105" s="177"/>
    </row>
    <row r="106" spans="43:50" ht="12.75">
      <c r="AQ106" s="151"/>
      <c r="AR106" s="151"/>
      <c r="AS106" s="151"/>
      <c r="AT106" s="172"/>
      <c r="AU106" s="177"/>
      <c r="AV106" s="177"/>
      <c r="AW106" s="177"/>
      <c r="AX106" s="177"/>
    </row>
    <row r="107" spans="43:50" ht="12.75">
      <c r="AQ107" s="172"/>
      <c r="AR107" s="172"/>
      <c r="AS107" s="172"/>
      <c r="AT107" s="172"/>
      <c r="AU107" s="177"/>
      <c r="AV107" s="177"/>
      <c r="AW107" s="177"/>
      <c r="AX107" s="177"/>
    </row>
    <row r="108" spans="43:50" ht="20.25">
      <c r="AQ108" s="187"/>
      <c r="AR108" s="187"/>
      <c r="AS108" s="187"/>
      <c r="AT108" s="172"/>
      <c r="AU108" s="177"/>
      <c r="AV108" s="177"/>
      <c r="AW108" s="177"/>
      <c r="AX108" s="177"/>
    </row>
    <row r="109" spans="43:50" ht="20.25">
      <c r="AQ109" s="188"/>
      <c r="AR109" s="179"/>
      <c r="AS109" s="179"/>
      <c r="AT109" s="172"/>
      <c r="AU109" s="177"/>
      <c r="AV109" s="177"/>
      <c r="AW109" s="177"/>
      <c r="AX109" s="177"/>
    </row>
    <row r="110" spans="43:50" ht="20.25">
      <c r="AQ110" s="188"/>
      <c r="AR110" s="179"/>
      <c r="AS110" s="179"/>
      <c r="AT110" s="172"/>
      <c r="AU110" s="177"/>
      <c r="AV110" s="177"/>
      <c r="AW110" s="177"/>
      <c r="AX110" s="177"/>
    </row>
    <row r="111" spans="43:50" ht="15">
      <c r="AQ111" s="107"/>
      <c r="AR111" s="176"/>
      <c r="AS111" s="107"/>
      <c r="AT111" s="172"/>
      <c r="AU111" s="177"/>
      <c r="AV111" s="177"/>
      <c r="AW111" s="177"/>
      <c r="AX111" s="177"/>
    </row>
    <row r="112" spans="43:50" ht="15">
      <c r="AQ112" s="107"/>
      <c r="AR112" s="176"/>
      <c r="AS112" s="107"/>
      <c r="AT112" s="172"/>
      <c r="AU112" s="177"/>
      <c r="AV112" s="177"/>
      <c r="AW112" s="177"/>
      <c r="AX112" s="177"/>
    </row>
    <row r="113" spans="43:50" ht="15">
      <c r="AQ113" s="107"/>
      <c r="AR113" s="176"/>
      <c r="AS113" s="107"/>
      <c r="AT113" s="172"/>
      <c r="AU113" s="177"/>
      <c r="AV113" s="177"/>
      <c r="AW113" s="177"/>
      <c r="AX113" s="177"/>
    </row>
    <row r="114" spans="43:50" ht="15">
      <c r="AQ114" s="107"/>
      <c r="AR114" s="176"/>
      <c r="AS114" s="107"/>
      <c r="AT114" s="177"/>
      <c r="AU114" s="177"/>
      <c r="AV114" s="177"/>
      <c r="AW114" s="177"/>
      <c r="AX114" s="177"/>
    </row>
    <row r="115" spans="43:50" ht="15">
      <c r="AQ115" s="181"/>
      <c r="AR115" s="182"/>
      <c r="AS115" s="181"/>
      <c r="AT115" s="177"/>
      <c r="AU115" s="177"/>
      <c r="AV115" s="177"/>
      <c r="AW115" s="177"/>
      <c r="AX115" s="177"/>
    </row>
    <row r="116" spans="43:50" ht="15">
      <c r="AQ116" s="107"/>
      <c r="AR116" s="176"/>
      <c r="AS116" s="107"/>
      <c r="AT116" s="177"/>
      <c r="AU116" s="177"/>
      <c r="AV116" s="177"/>
      <c r="AW116" s="177"/>
      <c r="AX116" s="177"/>
    </row>
    <row r="117" spans="43:50" ht="15">
      <c r="AQ117" s="107"/>
      <c r="AR117" s="176"/>
      <c r="AS117" s="107"/>
      <c r="AT117" s="177"/>
      <c r="AU117" s="177"/>
      <c r="AV117" s="177"/>
      <c r="AW117" s="177"/>
      <c r="AX117" s="177"/>
    </row>
    <row r="118" spans="43:50" ht="15">
      <c r="AQ118" s="107"/>
      <c r="AR118" s="176"/>
      <c r="AS118" s="107"/>
      <c r="AT118" s="177"/>
      <c r="AU118" s="177"/>
      <c r="AV118" s="177"/>
      <c r="AW118" s="177"/>
      <c r="AX118" s="177"/>
    </row>
    <row r="119" spans="43:50" ht="15">
      <c r="AQ119" s="107"/>
      <c r="AR119" s="176"/>
      <c r="AS119" s="107"/>
      <c r="AT119" s="177"/>
      <c r="AU119" s="177"/>
      <c r="AV119" s="177"/>
      <c r="AW119" s="177"/>
      <c r="AX119" s="177"/>
    </row>
    <row r="120" spans="43:50" ht="12.75">
      <c r="AQ120" s="177"/>
      <c r="AR120" s="177"/>
      <c r="AS120" s="177"/>
      <c r="AT120" s="177"/>
      <c r="AU120" s="177"/>
      <c r="AV120" s="177"/>
      <c r="AW120" s="177"/>
      <c r="AX120" s="177"/>
    </row>
    <row r="121" spans="43:50" ht="15">
      <c r="AQ121" s="107"/>
      <c r="AR121" s="177"/>
      <c r="AS121" s="177"/>
      <c r="AT121" s="177"/>
      <c r="AU121" s="177"/>
      <c r="AV121" s="177"/>
      <c r="AW121" s="177"/>
      <c r="AX121" s="177"/>
    </row>
  </sheetData>
  <sheetProtection password="DDE7" sheet="1" objects="1" scenarios="1" selectLockedCells="1"/>
  <mergeCells count="12">
    <mergeCell ref="B51:E51"/>
    <mergeCell ref="J51:K51"/>
    <mergeCell ref="D44:J44"/>
    <mergeCell ref="J50:K50"/>
    <mergeCell ref="B41:B42"/>
    <mergeCell ref="G41:G42"/>
    <mergeCell ref="D43:J43"/>
    <mergeCell ref="D31:E31"/>
    <mergeCell ref="A1:M1"/>
    <mergeCell ref="B12:F12"/>
    <mergeCell ref="G12:K12"/>
    <mergeCell ref="D7:E7"/>
  </mergeCells>
  <conditionalFormatting sqref="I31:J31">
    <cfRule type="cellIs" priority="1" dxfId="1" operator="equal" stopIfTrue="1">
      <formula>"Kernkraft"</formula>
    </cfRule>
  </conditionalFormatting>
  <printOptions/>
  <pageMargins left="0.75" right="0.75" top="1" bottom="1" header="0.4921259845" footer="0.4921259845"/>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Franz Jetzinger</dc:creator>
  <cp:keywords/>
  <dc:description/>
  <cp:lastModifiedBy>tb</cp:lastModifiedBy>
  <cp:lastPrinted>2010-09-16T13:17:12Z</cp:lastPrinted>
  <dcterms:created xsi:type="dcterms:W3CDTF">2010-07-13T12:12:45Z</dcterms:created>
  <dcterms:modified xsi:type="dcterms:W3CDTF">2011-07-13T11:55:09Z</dcterms:modified>
  <cp:category/>
  <cp:version/>
  <cp:contentType/>
  <cp:contentStatus/>
</cp:coreProperties>
</file>