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31" yWindow="150" windowWidth="10440" windowHeight="11565" tabRatio="879" activeTab="0"/>
  </bookViews>
  <sheets>
    <sheet name="Projekt-Info" sheetId="1" r:id="rId1"/>
    <sheet name="Annahmen" sheetId="2" r:id="rId2"/>
    <sheet name="Investitionen" sheetId="3" r:id="rId3"/>
    <sheet name="Personalaufwand" sheetId="4" r:id="rId4"/>
    <sheet name="Leasing u. Miete" sheetId="5" r:id="rId5"/>
    <sheet name="Betriebsaufwand" sheetId="6" r:id="rId6"/>
    <sheet name="Liquiditätsplanung" sheetId="7" r:id="rId7"/>
    <sheet name="Preisannahmen" sheetId="8" r:id="rId8"/>
    <sheet name="Produktion und Absatz" sheetId="9" r:id="rId9"/>
    <sheet name="Plan GuV" sheetId="10" r:id="rId10"/>
    <sheet name="Plan Bilanz" sheetId="11" r:id="rId11"/>
    <sheet name="Cash Flow u. Kennzahlen" sheetId="12" r:id="rId12"/>
    <sheet name="Kuppelprodukterzeugung" sheetId="13" r:id="rId13"/>
  </sheets>
  <definedNames>
    <definedName name="_xlnm.Print_Area" localSheetId="2">'Investitionen'!$A$1:$K$27</definedName>
    <definedName name="_xlnm.Print_Area" localSheetId="6">'Liquiditätsplanung'!$A$1:$AD$64</definedName>
    <definedName name="_xlnm.Print_Area" localSheetId="10">'Plan Bilanz'!$A$1:$O$35</definedName>
    <definedName name="_xlnm.Print_Area" localSheetId="9">'Plan GuV'!$A$1:$L$40</definedName>
    <definedName name="_xlnm.Print_Area" localSheetId="8">'Produktion und Absatz'!$A$1:$CE$48</definedName>
  </definedNames>
  <calcPr fullCalcOnLoad="1" iterate="1" iterateCount="200" iterateDelta="0.001"/>
</workbook>
</file>

<file path=xl/comments10.xml><?xml version="1.0" encoding="utf-8"?>
<comments xmlns="http://schemas.openxmlformats.org/spreadsheetml/2006/main">
  <authors>
    <author>veronika.reinberg</author>
  </authors>
  <commentList>
    <comment ref="A17" authorId="0">
      <text>
        <r>
          <rPr>
            <b/>
            <sz val="8"/>
            <rFont val="Tahoma"/>
            <family val="0"/>
          </rPr>
          <t>Montage der Anlage und Leasing-Anzahlungen</t>
        </r>
      </text>
    </comment>
  </commentList>
</comments>
</file>

<file path=xl/comments13.xml><?xml version="1.0" encoding="utf-8"?>
<comments xmlns="http://schemas.openxmlformats.org/spreadsheetml/2006/main">
  <authors>
    <author>Christoph Silly</author>
  </authors>
  <commentList>
    <comment ref="E4" authorId="0">
      <text>
        <r>
          <rPr>
            <sz val="8"/>
            <rFont val="Tahoma"/>
            <family val="2"/>
          </rPr>
          <t>Instandhaltungskosten, Reparaturen, Schmierstoffe u andere Aufwendungen für den Betrieb der Maschinen wurden mit 2,5% vom Anschaffungswert angenommen</t>
        </r>
      </text>
    </comment>
    <comment ref="H4" authorId="0">
      <text>
        <r>
          <rPr>
            <sz val="8"/>
            <rFont val="Tahoma"/>
            <family val="0"/>
          </rPr>
          <t>Versuicherungswert wurde angenommen mit 1,5% vom Anschaffungswert der Maschine</t>
        </r>
      </text>
    </comment>
  </commentList>
</comments>
</file>

<file path=xl/comments3.xml><?xml version="1.0" encoding="utf-8"?>
<comments xmlns="http://schemas.openxmlformats.org/spreadsheetml/2006/main">
  <authors>
    <author>Kreihsler-5</author>
  </authors>
  <commentList>
    <comment ref="B6" authorId="0">
      <text>
        <r>
          <rPr>
            <sz val="8"/>
            <rFont val="Tahoma"/>
            <family val="0"/>
          </rPr>
          <t>inkl. Solar- &amp; Photovoltaikanlage</t>
        </r>
      </text>
    </comment>
  </commentList>
</comments>
</file>

<file path=xl/comments6.xml><?xml version="1.0" encoding="utf-8"?>
<comments xmlns="http://schemas.openxmlformats.org/spreadsheetml/2006/main">
  <authors>
    <author>Kreihsler-5</author>
  </authors>
  <commentList>
    <comment ref="B5" authorId="0">
      <text>
        <r>
          <rPr>
            <sz val="8"/>
            <rFont val="Tahoma"/>
            <family val="0"/>
          </rPr>
          <t>Kerne naß, Transport mit Standartlanstkraftwagen inkl. Straßenverkehrsabgabe</t>
        </r>
      </text>
    </comment>
  </commentList>
</comments>
</file>

<file path=xl/comments7.xml><?xml version="1.0" encoding="utf-8"?>
<comments xmlns="http://schemas.openxmlformats.org/spreadsheetml/2006/main">
  <authors>
    <author>s0410280024</author>
  </authors>
  <commentList>
    <comment ref="G3" authorId="0">
      <text>
        <r>
          <rPr>
            <sz val="8"/>
            <rFont val="Tahoma"/>
            <family val="0"/>
          </rPr>
          <t>Heizungs-Klima-Lüftungstechnik</t>
        </r>
      </text>
    </comment>
  </commentList>
</comments>
</file>

<file path=xl/comments9.xml><?xml version="1.0" encoding="utf-8"?>
<comments xmlns="http://schemas.openxmlformats.org/spreadsheetml/2006/main">
  <authors>
    <author>s0410280024</author>
    <author>veronika.reinberg</author>
  </authors>
  <commentList>
    <comment ref="AB1" authorId="0">
      <text>
        <r>
          <rPr>
            <b/>
            <sz val="8"/>
            <rFont val="Tahoma"/>
            <family val="0"/>
          </rPr>
          <t>s0410280024:</t>
        </r>
        <r>
          <rPr>
            <sz val="8"/>
            <rFont val="Tahoma"/>
            <family val="0"/>
          </rPr>
          <t xml:space="preserve">
Wenn zB nur 10% der Kerne blanchiert werden sollen, dann in dieser Spalte 10 eingeben.
Die Ölproduktion und der Anteil des Presskuchens ändern sich automatisch.
Falls keine Kerne blanchiert werden, Wert auf Null setzen.</t>
        </r>
      </text>
    </comment>
    <comment ref="AH7" authorId="1">
      <text>
        <r>
          <rPr>
            <sz val="8"/>
            <rFont val="Tahoma"/>
            <family val="0"/>
          </rPr>
          <t>ergibt sich aus 100%-Anteil Kosmetik-Öl</t>
        </r>
      </text>
    </comment>
    <comment ref="AL7" authorId="1">
      <text>
        <r>
          <rPr>
            <sz val="8"/>
            <rFont val="Tahoma"/>
            <family val="0"/>
          </rPr>
          <t>ergibt sich aus 100%-Anteil Kosmetik-Öl B2B</t>
        </r>
      </text>
    </comment>
    <comment ref="AP7" authorId="1">
      <text>
        <r>
          <rPr>
            <sz val="8"/>
            <rFont val="Tahoma"/>
            <family val="0"/>
          </rPr>
          <t>ergibt sich aus 100%-Anteil Lebensmittel-Öl B2B</t>
        </r>
      </text>
    </comment>
  </commentList>
</comments>
</file>

<file path=xl/sharedStrings.xml><?xml version="1.0" encoding="utf-8"?>
<sst xmlns="http://schemas.openxmlformats.org/spreadsheetml/2006/main" count="669" uniqueCount="431">
  <si>
    <t>2-4 Mitarbeiter</t>
  </si>
  <si>
    <t>Abfüllanlage</t>
  </si>
  <si>
    <t>Steuerungs- &amp; Lagertechnik</t>
  </si>
  <si>
    <t>Umlaufvermögen</t>
  </si>
  <si>
    <t>Gesamt</t>
  </si>
  <si>
    <t>AKTIVA</t>
  </si>
  <si>
    <t>PASSIVA</t>
  </si>
  <si>
    <t>Fremdkapital</t>
  </si>
  <si>
    <t>Stammkapital</t>
  </si>
  <si>
    <t>Bilanzgewinn inkl. Rücklagen</t>
  </si>
  <si>
    <t>Rückstellungen</t>
  </si>
  <si>
    <t>Lieferverbindlichkeiten</t>
  </si>
  <si>
    <t>Sonstige Verbindlichkeiten</t>
  </si>
  <si>
    <t>Produktion inkl. Produktionsleiter</t>
  </si>
  <si>
    <t>Dentalabrasivum</t>
  </si>
  <si>
    <t>Kosmetik</t>
  </si>
  <si>
    <t>Vorselektieren</t>
  </si>
  <si>
    <t>Kalibrieren, Brechen, Separieren</t>
  </si>
  <si>
    <t>2007/2008</t>
  </si>
  <si>
    <t>Pressen</t>
  </si>
  <si>
    <t>Summe Erlöse in Euro/a</t>
  </si>
  <si>
    <t xml:space="preserve">Grundstück </t>
  </si>
  <si>
    <t>Technologie / Maschinen</t>
  </si>
  <si>
    <t>Heizung/Klima/Lüftung</t>
  </si>
  <si>
    <t>Planung / Engineering</t>
  </si>
  <si>
    <t>Fördertechnik</t>
  </si>
  <si>
    <t>Kerne trocken        in t/a</t>
  </si>
  <si>
    <t>Hartschalen          in %</t>
  </si>
  <si>
    <t>Hartschalen          in t/a</t>
  </si>
  <si>
    <t>Weichkerne          in %</t>
  </si>
  <si>
    <t>Weichkerne          in t/a</t>
  </si>
  <si>
    <t>SUMME Investitionen</t>
  </si>
  <si>
    <t>Energie</t>
  </si>
  <si>
    <t>Büro u. Vertrieb</t>
  </si>
  <si>
    <t>Geschäftsführung</t>
  </si>
  <si>
    <t>Forschung &amp; Entwicklung</t>
  </si>
  <si>
    <t>SUMME Personalkosten</t>
  </si>
  <si>
    <t>Personalkosten gesamt</t>
  </si>
  <si>
    <t>Marketing</t>
  </si>
  <si>
    <t>SUMME Betriebsaufwand</t>
  </si>
  <si>
    <t>Reinigen</t>
  </si>
  <si>
    <t>Trocknen</t>
  </si>
  <si>
    <t>Feinseparieren</t>
  </si>
  <si>
    <t>Rösten</t>
  </si>
  <si>
    <t>Analytik / QS</t>
  </si>
  <si>
    <t>Eigenkapital</t>
  </si>
  <si>
    <t>Lebensmittel</t>
  </si>
  <si>
    <t>Marillenkernöl</t>
  </si>
  <si>
    <t>Pfirsichkernöl</t>
  </si>
  <si>
    <t>Kirschkernöl</t>
  </si>
  <si>
    <t>Zwetschkenkernöl</t>
  </si>
  <si>
    <t>Presskuchen</t>
  </si>
  <si>
    <t>Weichkerne blanchiert</t>
  </si>
  <si>
    <t>Industrie</t>
  </si>
  <si>
    <t>Büroaufwand / Versicherung</t>
  </si>
  <si>
    <t>Grundstück</t>
  </si>
  <si>
    <t>Planungsk. &amp; Bauleitung</t>
  </si>
  <si>
    <t>Maschinen</t>
  </si>
  <si>
    <t>HKL-Technik</t>
  </si>
  <si>
    <t>Summe monatlich</t>
  </si>
  <si>
    <t>Baukosten Gebäude</t>
  </si>
  <si>
    <t>Werte in EUR</t>
  </si>
  <si>
    <t>%</t>
  </si>
  <si>
    <t>Personalaufwand</t>
  </si>
  <si>
    <t>Summe der Aufwendungen</t>
  </si>
  <si>
    <t>EGT</t>
  </si>
  <si>
    <t>Ergebnis nach Steuer</t>
  </si>
  <si>
    <t>Verpackung</t>
  </si>
  <si>
    <t>Plan</t>
  </si>
  <si>
    <t>Sonstiger Verwaltungsaufwand</t>
  </si>
  <si>
    <t>Investitionen Sachanlagen</t>
  </si>
  <si>
    <t>Gebäude</t>
  </si>
  <si>
    <t>HKL</t>
  </si>
  <si>
    <t>Steuerungs-/Lagertechnik</t>
  </si>
  <si>
    <t>Instandhaltung Sachanlagen</t>
  </si>
  <si>
    <t>Abschreibung</t>
  </si>
  <si>
    <t>Maschinen und sonstige</t>
  </si>
  <si>
    <t>Vorräte</t>
  </si>
  <si>
    <t>Sachanlagen Gesamt</t>
  </si>
  <si>
    <t>Gebäude inkl. HKL</t>
  </si>
  <si>
    <t>Umschlagshäufigkeit (Material + Verpackung)</t>
  </si>
  <si>
    <t>Hammermühle</t>
  </si>
  <si>
    <t>Stiftmühle</t>
  </si>
  <si>
    <t>Siebturm</t>
  </si>
  <si>
    <t>Absackanlage</t>
  </si>
  <si>
    <t>Marille</t>
  </si>
  <si>
    <t>Zwetschke</t>
  </si>
  <si>
    <t>Kirsch</t>
  </si>
  <si>
    <t>Pfirsich</t>
  </si>
  <si>
    <t>BIO Kirsch</t>
  </si>
  <si>
    <t>BIO Marille</t>
  </si>
  <si>
    <t>BIO Pfirsich</t>
  </si>
  <si>
    <t>BIO Zwetschke</t>
  </si>
  <si>
    <t xml:space="preserve">Ölgehalt des Kerns in %              </t>
  </si>
  <si>
    <t>Ölertrag                          in t/a</t>
  </si>
  <si>
    <t>Weichkerne für blanchieren in t/a</t>
  </si>
  <si>
    <t>Hier Jahres-tonnage eingeben</t>
  </si>
  <si>
    <t>Füllstoff Reifen oder Polymer t/a</t>
  </si>
  <si>
    <t>Dental-abrasivum t/a</t>
  </si>
  <si>
    <t>Erlös Hartschalen-granulat</t>
  </si>
  <si>
    <t>Erlös Füllstoff Reifen oder Polymer</t>
  </si>
  <si>
    <t>Erlös Schleifpasten und Poliermittel</t>
  </si>
  <si>
    <t>Erlös Dental-abrasivum</t>
  </si>
  <si>
    <t>Gewünschte Produktaufteilung eingeben, Summe muss 100 sein!!!!</t>
  </si>
  <si>
    <t xml:space="preserve">GESAMT: </t>
  </si>
  <si>
    <t>Gesamt angefallene Schalen in t/a</t>
  </si>
  <si>
    <t>Hart-schalen          in t/a</t>
  </si>
  <si>
    <t>Weich-kerne          in t/a</t>
  </si>
  <si>
    <t>Verarbeitung pro Jahr</t>
  </si>
  <si>
    <t>Press-kuchen         in t/a</t>
  </si>
  <si>
    <t xml:space="preserve">Anteil Press-kuchen in %          </t>
  </si>
  <si>
    <t>Hart-schalen-granulat t/a</t>
  </si>
  <si>
    <t>Schleif-pasten und Poliermittel t/a</t>
  </si>
  <si>
    <t>Summe</t>
  </si>
  <si>
    <t>Heiz-material t/a</t>
  </si>
  <si>
    <t>Hartschalen-granulat</t>
  </si>
  <si>
    <t>Erlös</t>
  </si>
  <si>
    <t>Verkaufspreis (€/l) BIOQUALITÄT Untergrenze</t>
  </si>
  <si>
    <t>Verkaufspreis (€/l) BIOQUALITÄT Obergrenze</t>
  </si>
  <si>
    <t>Verkaufspreis (€/l) KONVENTIONELL Untergrenze</t>
  </si>
  <si>
    <t>Verkaufspreis (€/l) KONVENTIONELL Obergrenze</t>
  </si>
  <si>
    <t>Verkaufspreis (€/l) KONVENTIONELL Mittelwert</t>
  </si>
  <si>
    <t>Verkaufspreis (€/l) BIOQUALITÄT Mittelwert</t>
  </si>
  <si>
    <t>-</t>
  </si>
  <si>
    <t>Verkaufspreis (€/kg) BIOQUALITÄT Untergrenze</t>
  </si>
  <si>
    <t>Verkaufspreis (€/kg) BIOQUALITÄT Obergrenze</t>
  </si>
  <si>
    <t>Verkaufspreis (€/kg) BIOQUALITÄT Mittelwert</t>
  </si>
  <si>
    <t>Verkaufspreis (€/kg) KONVENTIONELL Untergrenze</t>
  </si>
  <si>
    <t>Verkaufspreis (€/kg) KONVENTIONELL Obergrenze</t>
  </si>
  <si>
    <t>Verkaufspreis (€/kg) KONVENTIONELL Mittelwert</t>
  </si>
  <si>
    <t>Dichte (g/cm3)</t>
  </si>
  <si>
    <t>Hier B2C-Verkaufspreise in €/l eingeben (Endkonsumentenpreise)</t>
  </si>
  <si>
    <t>Hier B2B-Verkaufspreise in €/l eingeben (Großhandelspreise)</t>
  </si>
  <si>
    <t>Hier B2C-Verkaufspreise in €/kg eingeben (Endkonsumentenpreise)</t>
  </si>
  <si>
    <t>Hier B2B-Verkaufspreise in €/kg eingeben (Großhandelspreise)</t>
  </si>
  <si>
    <t>HIER angeben, wieviele ungeschälte Kerne verkauft werden</t>
  </si>
  <si>
    <t>Weichkerne ungeschält</t>
  </si>
  <si>
    <t>Weichkerne ungeschält in %</t>
  </si>
  <si>
    <t>Weichkerne ungeschält in t/a</t>
  </si>
  <si>
    <t>Hier Anteil der Hartschalen exkl. Mischfraktion angeben</t>
  </si>
  <si>
    <t>Hier Anteil der Weichkerne exkl. Mischfraktion angeben</t>
  </si>
  <si>
    <t>Hartschalen inkl. Mischfraktion          in %</t>
  </si>
  <si>
    <t>Weichkerne  inkl. Mischfraktion        in %</t>
  </si>
  <si>
    <t>thermische Nutzung</t>
  </si>
  <si>
    <t>Weichkern ungeschält B2B in %</t>
  </si>
  <si>
    <t>Weichkern ungeschält B2C in %</t>
  </si>
  <si>
    <t>Weichkern blanchiert B2B in %</t>
  </si>
  <si>
    <t>Weichkern ungeschält B2B in t/a</t>
  </si>
  <si>
    <t>Weichkern ungeschält B2C in t/a</t>
  </si>
  <si>
    <t>Weichkern blanchiert B2B in t/a</t>
  </si>
  <si>
    <t>Weichkern blanchiert B2C in t/a</t>
  </si>
  <si>
    <t>Weichkern blanchiert B2C in %</t>
  </si>
  <si>
    <t>Erlös Weichkerne ungeschält B2B</t>
  </si>
  <si>
    <t>Erlös Weichkerne ungeschält B2C</t>
  </si>
  <si>
    <t>Erlös Weichkerne blanchiert B2B</t>
  </si>
  <si>
    <t>Erlös Weichkerne blanchiert B2C</t>
  </si>
  <si>
    <t>Kosmetik-Öl B2B in %</t>
  </si>
  <si>
    <t>Kosmetik-Öl B2B in t/a</t>
  </si>
  <si>
    <t>Kosmetik-Öl B2C in %</t>
  </si>
  <si>
    <t>Kosmetik-Öl B2C in t/a</t>
  </si>
  <si>
    <t>Anteil Kosmetik-Öl in %</t>
  </si>
  <si>
    <t>Kosmetik-Öl in t/a</t>
  </si>
  <si>
    <t>Anteil Lebens-mittel-Öl in %</t>
  </si>
  <si>
    <t>Lebens-mittelöl in t/a</t>
  </si>
  <si>
    <t>Lebens-mittel-Öl B2B in t/a</t>
  </si>
  <si>
    <t>Lebens-mittel-Öl B2C in %</t>
  </si>
  <si>
    <t>Hier Anteil an Kosmetik-Öl angeben</t>
  </si>
  <si>
    <t>Lebens-mittel-Öl B2B in %</t>
  </si>
  <si>
    <t>Lebens-mittel-Öl B2C in t/a</t>
  </si>
  <si>
    <t>Erlös Kosmetik-Öl B2B</t>
  </si>
  <si>
    <t>Erlös Kosmetik-Öl B2C</t>
  </si>
  <si>
    <t>Erlös Lebens-mittel-Öl B2B</t>
  </si>
  <si>
    <t>Erlös Lebens-mittel-Öl B2C</t>
  </si>
  <si>
    <t xml:space="preserve">Ölertrag in 1000 l/a </t>
  </si>
  <si>
    <t>Erlös Press-kuchen B2B</t>
  </si>
  <si>
    <t>Erlös Heiz-material</t>
  </si>
  <si>
    <t>Erlös  Feinstrahl-mittel</t>
  </si>
  <si>
    <t>Feinstrahl-mittel t/a (Kunststoff)</t>
  </si>
  <si>
    <t>Hier Personalkosten eingeben</t>
  </si>
  <si>
    <t>Nutzungs-dauer (a)</t>
  </si>
  <si>
    <t>Aufwand in gelbe Felder eintragen</t>
  </si>
  <si>
    <t>Füllstoffe Autoreifen/Kunst-stoffe</t>
  </si>
  <si>
    <t>Schleifpasten-zusatz</t>
  </si>
  <si>
    <t>Feinstrahlmittel (Kunststoff)</t>
  </si>
  <si>
    <t>Hier Masseverlust  der frischen Kerne beim Trocknen eintragen (%)</t>
  </si>
  <si>
    <t>SUMME</t>
  </si>
  <si>
    <t>Hier Verluste beim Blanchieren angeben</t>
  </si>
  <si>
    <t>Verlust Weichkern in %</t>
  </si>
  <si>
    <t>Weichkerne blanchiert  t/a</t>
  </si>
  <si>
    <t>Hier Ölgehalt der Weichkerne eintragen</t>
  </si>
  <si>
    <t>HIER angeben, wieviele Kerne blanchiert werden sollen</t>
  </si>
  <si>
    <t>Kontrolle Bilanzsumme</t>
  </si>
  <si>
    <t>Hier angeben wieviel Prozent der jeweils erzeugten Ware abgesetzt werden können</t>
  </si>
  <si>
    <t>Hartschalen-granulat in % der erzeugten Menge</t>
  </si>
  <si>
    <t>Füllstoff Reifen oder Polymer in % der erzeugten Menge</t>
  </si>
  <si>
    <t>Schleifpasten und Poliermittel in % der erzeugten Menge</t>
  </si>
  <si>
    <t>Feinstrahl-mittel in % der erzeugten Menge</t>
  </si>
  <si>
    <t>Dental-abrasivum in % der erzeugten Menge</t>
  </si>
  <si>
    <t>Heizmaterial in % der erzeugten Menge</t>
  </si>
  <si>
    <t>Kosmetik-Öl B2B in % der erzeugten Menge</t>
  </si>
  <si>
    <t>Kosmetik-Öl B2C in % der erzeugten Menge</t>
  </si>
  <si>
    <t>Lebensmittel-Öl B2B in % der erzeugten Menge</t>
  </si>
  <si>
    <t>Weichkern ungeschält B2B in % der erzeugten Menge</t>
  </si>
  <si>
    <t>Lebensmittel-Öl B2C in % der erzeugten Menge</t>
  </si>
  <si>
    <t>Weichkern blanchiert B2C in % der erzeugten Menge</t>
  </si>
  <si>
    <t>Weichkern ungeschält B2C in % der erzeugten Menge</t>
  </si>
  <si>
    <t>Weichkern blanchiert B2B in % der erzeugten Menge</t>
  </si>
  <si>
    <t>Hier geplanten Anteil B2B-Verkauf angeben</t>
  </si>
  <si>
    <t>Hartschalen</t>
  </si>
  <si>
    <t>Weichkerne</t>
  </si>
  <si>
    <t>Absatz der Produkte</t>
  </si>
  <si>
    <t>Presskuchen  in % der erzeugten Menge</t>
  </si>
  <si>
    <t>+ Abschreibung</t>
  </si>
  <si>
    <t>Investitionskosten</t>
  </si>
  <si>
    <t>Cash Flow</t>
  </si>
  <si>
    <t>Cash Flow kumuliert</t>
  </si>
  <si>
    <t>Cash Flow - Investitionskosten</t>
  </si>
  <si>
    <t>kurzfristige Bankverbindlichkeiten</t>
  </si>
  <si>
    <t>Jahr</t>
  </si>
  <si>
    <t>Quicktest-Kennzahlen</t>
  </si>
  <si>
    <t>Cash-Flow (% d. Umsatzes)</t>
  </si>
  <si>
    <t>Finanzielle Stabilität</t>
  </si>
  <si>
    <t>Ertragslage</t>
  </si>
  <si>
    <t>Gesamtkapital-rentabilität</t>
  </si>
  <si>
    <t>Schuldtilgungs-dauer (a)</t>
  </si>
  <si>
    <t>Eigenkapital-quote</t>
  </si>
  <si>
    <t>Finanzierung</t>
  </si>
  <si>
    <t>Liquidität</t>
  </si>
  <si>
    <t>Rentabilität</t>
  </si>
  <si>
    <t>Erfolg</t>
  </si>
  <si>
    <t>Wert</t>
  </si>
  <si>
    <t>Note</t>
  </si>
  <si>
    <t>Analyse-bereich</t>
  </si>
  <si>
    <t>ND in Jahren</t>
  </si>
  <si>
    <t>Füllstoff Reifen oder Polymer</t>
  </si>
  <si>
    <t>Schleifpasten und Poliermittel</t>
  </si>
  <si>
    <t>Feinstrahl-mittel</t>
  </si>
  <si>
    <t>Dental-abrasivum</t>
  </si>
  <si>
    <t>Feinstrahlmittel</t>
  </si>
  <si>
    <t>Verkaufsberechnung</t>
  </si>
  <si>
    <t>Verbrennen</t>
  </si>
  <si>
    <t>Erlös/Tonne</t>
  </si>
  <si>
    <t>Menge in Tonnen</t>
  </si>
  <si>
    <t>Gesamterlös</t>
  </si>
  <si>
    <t>Kosten/Tonne</t>
  </si>
  <si>
    <t>Gesamtkosten</t>
  </si>
  <si>
    <t>Differenz zum Ertrag bei Brennstoffeinsatz</t>
  </si>
  <si>
    <t>Laufzeit (in a)</t>
  </si>
  <si>
    <t>Zinssatz Restfinanzierung</t>
  </si>
  <si>
    <r>
      <t>Zinssatz;</t>
    </r>
    <r>
      <rPr>
        <sz val="10"/>
        <rFont val="Arial"/>
        <family val="2"/>
      </rPr>
      <t xml:space="preserve"> in 2008 tilgungsfrei</t>
    </r>
  </si>
  <si>
    <t>INVESTITIONEN KernCraft Austria 2008-2012</t>
  </si>
  <si>
    <t>Zinsen</t>
  </si>
  <si>
    <t>Hier Preis-Zunahme pro Jahr eingeben (%)</t>
  </si>
  <si>
    <t>BETRIEBSAUFWAND KernCraft Austria 2008-2012</t>
  </si>
  <si>
    <t>Kerne feucht (angelieferte Ware) in t/a</t>
  </si>
  <si>
    <t>PRODUKTAUFTEILUNG aus Hartschalen</t>
  </si>
  <si>
    <t>PRODUKTAUFTEILUNG aus Weichkernen</t>
  </si>
  <si>
    <t>Absatz  Weichkern (Aufteilung B2B und B2C)</t>
  </si>
  <si>
    <t>Weichkerne blanchiert in %</t>
  </si>
  <si>
    <t>Betriebsleistung</t>
  </si>
  <si>
    <t>Beteiligungen und Zuschüsse</t>
  </si>
  <si>
    <t>Lieferforderungen</t>
  </si>
  <si>
    <t>Liquide Mittel</t>
  </si>
  <si>
    <r>
      <t xml:space="preserve">Umschlagshäufigkeit </t>
    </r>
    <r>
      <rPr>
        <b/>
        <sz val="9"/>
        <rFont val="Arial"/>
        <family val="2"/>
      </rPr>
      <t>(=360/Zahlungsziel in Tagen)</t>
    </r>
  </si>
  <si>
    <t>Cash-Flow KernCraft Austria 2008 - 2012</t>
  </si>
  <si>
    <t>Plan-GuV KernCraft Austria 2008 - 2012</t>
  </si>
  <si>
    <t>Plan-Bilanz KernCraft Austria 2008 - 2012</t>
  </si>
  <si>
    <t>Werte in €</t>
  </si>
  <si>
    <t>Amortisation</t>
  </si>
  <si>
    <t>Quicktest KernCraft Austria 2008 - 2012</t>
  </si>
  <si>
    <t>Jänner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</si>
  <si>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</si>
  <si>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</si>
  <si>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</si>
  <si>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</si>
  <si>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</si>
  <si>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</si>
  <si>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</si>
  <si>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</si>
  <si>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</si>
  <si>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</si>
  <si>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</si>
  <si>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Tilgung</t>
  </si>
  <si>
    <t>Rohstoff</t>
  </si>
  <si>
    <t>Personal</t>
  </si>
  <si>
    <t>Sonstiges</t>
  </si>
  <si>
    <t>Jänner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</si>
  <si>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</si>
  <si>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</si>
  <si>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</si>
  <si>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</si>
  <si>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</si>
  <si>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</si>
  <si>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</si>
  <si>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</si>
  <si>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</si>
  <si>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</si>
  <si>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</si>
  <si>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Jänner 2010</t>
  </si>
  <si>
    <t>Februar 2010</t>
  </si>
  <si>
    <t>März 2010</t>
  </si>
  <si>
    <t>April 2010</t>
  </si>
  <si>
    <t>Mai 2010</t>
  </si>
  <si>
    <t>Juni 2010</t>
  </si>
  <si>
    <t>Juli 2010</t>
  </si>
  <si>
    <t>August 2010</t>
  </si>
  <si>
    <t>September 2010</t>
  </si>
  <si>
    <t>Oktober 2010</t>
  </si>
  <si>
    <t>November 2010</t>
  </si>
  <si>
    <t>Dezember 2010</t>
  </si>
  <si>
    <t>Jänner 2011</t>
  </si>
  <si>
    <t>Februar 2011</t>
  </si>
  <si>
    <t>März 2011</t>
  </si>
  <si>
    <t>April 2011</t>
  </si>
  <si>
    <t>Mai 2011</t>
  </si>
  <si>
    <t>Juni 2011</t>
  </si>
  <si>
    <t>Juli 2011</t>
  </si>
  <si>
    <t>August 2011</t>
  </si>
  <si>
    <t>September 2011</t>
  </si>
  <si>
    <t>Oktober 2011</t>
  </si>
  <si>
    <t>November 2011</t>
  </si>
  <si>
    <t>Dezember 2011</t>
  </si>
  <si>
    <t>Jänner 2012</t>
  </si>
  <si>
    <t>Februar 2012</t>
  </si>
  <si>
    <t>März 2012</t>
  </si>
  <si>
    <t>April 2012</t>
  </si>
  <si>
    <t>Mai 2012</t>
  </si>
  <si>
    <t>Juni 2012</t>
  </si>
  <si>
    <t>Juli 2012</t>
  </si>
  <si>
    <t>August 2012</t>
  </si>
  <si>
    <t>September 2012</t>
  </si>
  <si>
    <t>Oktober 2012</t>
  </si>
  <si>
    <t>November 2012</t>
  </si>
  <si>
    <t>Dezember 2012</t>
  </si>
  <si>
    <t>Hier Nutzungsdauer eintragen (a)</t>
  </si>
  <si>
    <t>Hier Investitionen f. Grund, Gebäude und Planung eingeben</t>
  </si>
  <si>
    <t>Hier Verfahrens-schritte oder Maschinen und Investitions-kosten eintragen</t>
  </si>
  <si>
    <t>Kosten/t Hartschalen</t>
  </si>
  <si>
    <t>Hier geplante Produktmenge eingeben (t/a)</t>
  </si>
  <si>
    <t>Hartschalen - maschinenbezogene Verarbeitungskosten</t>
  </si>
  <si>
    <t>bei den Schalenprodukten werden ausschließlich die Mehrkosten berechnet (zusätzliche Maschinen)</t>
  </si>
  <si>
    <t>Afa (Abschreibung)</t>
  </si>
  <si>
    <t>Hartschalen (t/a)</t>
  </si>
  <si>
    <t>Schälen</t>
  </si>
  <si>
    <t>Leasing</t>
  </si>
  <si>
    <t>Mieten</t>
  </si>
  <si>
    <t>sonstiger Aufwand</t>
  </si>
  <si>
    <t>1 Mitarbeiter</t>
  </si>
  <si>
    <t>1 Geschäftsf.</t>
  </si>
  <si>
    <t>2-3 Mitarbeiter</t>
  </si>
  <si>
    <t>LEASING KernCraft Austria 2008-2012</t>
  </si>
  <si>
    <t>Lager</t>
  </si>
  <si>
    <t>Anschaffungs-wert (€)</t>
  </si>
  <si>
    <t>Miete/Pacht</t>
  </si>
  <si>
    <t>sonstiges</t>
  </si>
  <si>
    <t>Leasingrate 2008</t>
  </si>
  <si>
    <t>Leasingrate 2009</t>
  </si>
  <si>
    <t>Leasingrate 2010</t>
  </si>
  <si>
    <t>Leasingrate 2011</t>
  </si>
  <si>
    <t>Leasingrate 2012</t>
  </si>
  <si>
    <t>Monatsrate</t>
  </si>
  <si>
    <t>Miete 2008</t>
  </si>
  <si>
    <t>Miete 2009</t>
  </si>
  <si>
    <t>Miete 2010</t>
  </si>
  <si>
    <t>Miete 2011</t>
  </si>
  <si>
    <t>Miete 2012</t>
  </si>
  <si>
    <t>Kredit</t>
  </si>
  <si>
    <t>PERSONAL-PLAN KernCraft Austria</t>
  </si>
  <si>
    <t>Gebäude-errichtungs-kosten</t>
  </si>
  <si>
    <t>Instandhaltung, Reparaturen</t>
  </si>
  <si>
    <t>hier Steuersatz eintragen</t>
  </si>
  <si>
    <t>Miete</t>
  </si>
  <si>
    <t>Sonstiger Aufwand</t>
  </si>
  <si>
    <t>Summe kumuliert</t>
  </si>
  <si>
    <t>Erträge</t>
  </si>
  <si>
    <t>Erträge kumuliert</t>
  </si>
  <si>
    <t>verfügbares Kapital</t>
  </si>
  <si>
    <t>Anteil Eigenkap. am Gesamtkap. Beginn 2008</t>
  </si>
  <si>
    <t>Hier monatlichen Badarf an liquiden Mitteln eintragen</t>
  </si>
  <si>
    <t>Hier monatliche eingehende Erträge angeben</t>
  </si>
  <si>
    <t>Hier verfügbares Kapital angeben</t>
  </si>
  <si>
    <t>Monat</t>
  </si>
  <si>
    <t>Übersicht über Annahmen des Szenarios</t>
  </si>
  <si>
    <t>Hier Aufwand in € pro t FRISCHKERNE eintragen</t>
  </si>
  <si>
    <t>Hier Dichte der Öle eingeben</t>
  </si>
  <si>
    <t>QS/Material f. Labor</t>
  </si>
  <si>
    <t>Rohstoffaufwand</t>
  </si>
  <si>
    <t>Material und Hilfsstoffe</t>
  </si>
  <si>
    <t>MIETE/PACHT KernCraft Austria 2008-2012</t>
  </si>
  <si>
    <t xml:space="preserve">Gebinde / Verpackung </t>
  </si>
  <si>
    <t>Investition</t>
  </si>
  <si>
    <t>Instand-haltung/a</t>
  </si>
  <si>
    <t>Afa/a</t>
  </si>
  <si>
    <t>Leasing/a</t>
  </si>
  <si>
    <t>Versicherung/a</t>
  </si>
  <si>
    <t>Gesamt-kosten/a</t>
  </si>
  <si>
    <t>jährliche Steigerung der Miete (%)</t>
  </si>
  <si>
    <t>Liquiditätsbedarfs-Plan KernCraft Austria</t>
  </si>
  <si>
    <t>Über/Unter-deckung</t>
  </si>
  <si>
    <t>Steuer</t>
  </si>
  <si>
    <r>
      <t>Betriebsergebnis (</t>
    </r>
    <r>
      <rPr>
        <b/>
        <sz val="10"/>
        <rFont val="Arial"/>
        <family val="2"/>
      </rPr>
      <t>EBIT</t>
    </r>
    <r>
      <rPr>
        <sz val="10"/>
        <rFont val="Arial"/>
        <family val="0"/>
      </rPr>
      <t>)</t>
    </r>
  </si>
  <si>
    <t>Nawaros-Planer</t>
  </si>
  <si>
    <t>Der Nawaros-Planer wurde im Rahmen des folgenden Projekts erarbeitet:</t>
  </si>
  <si>
    <t>Konzept für die Vorbereitung des Demoprojekts KernCraft Austria</t>
  </si>
  <si>
    <t>Siegrun Klug, Dr.</t>
  </si>
  <si>
    <t>FHWN Wieselburg</t>
  </si>
  <si>
    <t>Josef Farthofer, Mag.</t>
  </si>
  <si>
    <t>Veronika Reinberg, DI (FH) Mag.</t>
  </si>
  <si>
    <t>Manfred Huchler, Mag. (FH)</t>
  </si>
  <si>
    <t>Hanswerner Mackwitz, MSc</t>
  </si>
  <si>
    <t>alchemia-nova</t>
  </si>
  <si>
    <t>Kurt Kreihsler, Ing.</t>
  </si>
  <si>
    <t>KernCraft Biotech GmbH</t>
  </si>
  <si>
    <t>Angelika Wukowits, DI (FH)</t>
  </si>
  <si>
    <t>Stefanie Wallner, Mag.</t>
  </si>
  <si>
    <t>Wieselburg, September 2007</t>
  </si>
  <si>
    <t>Wirtschaftlich erfolgreich mit nachwachsenden Rohstoffen</t>
  </si>
  <si>
    <t xml:space="preserve">Zusammenführung bisheriger Aktivitäten im Bereich der Kaskadennutzung von Steinobstkernen („KernCraft Austria“) und Planung </t>
  </si>
  <si>
    <t>eines Demonstrationsprojekts zur wirtschaftlichen Umsetzung von KernCraft Austria (Proj.Nr. 811908 - GLE/BLC)</t>
  </si>
  <si>
    <t xml:space="preserve">Projekt im Programm FABRIK DER ZUKUNFT, eine Initiative des Bundesministeriums für Verkehr, Innovation und Technologie (BMVIT) </t>
  </si>
  <si>
    <t>und der Forschungsförderungsgesellschaft (FFG)</t>
  </si>
  <si>
    <t>(FHWN Wieselburg)</t>
  </si>
  <si>
    <r>
      <t>Projektleiterin</t>
    </r>
    <r>
      <rPr>
        <sz val="9"/>
        <rFont val="Arial"/>
        <family val="2"/>
      </rPr>
      <t xml:space="preserve">: Susanne Geissler, Mag. Dr. </t>
    </r>
  </si>
  <si>
    <r>
      <t>ProjektmitarbeiterInnen</t>
    </r>
    <r>
      <rPr>
        <sz val="9"/>
        <rFont val="Arial"/>
        <family val="2"/>
      </rPr>
      <t>:</t>
    </r>
  </si>
  <si>
    <r>
      <t>AutorInnen:</t>
    </r>
    <r>
      <rPr>
        <sz val="9"/>
        <rFont val="Arial"/>
        <family val="2"/>
      </rPr>
      <t xml:space="preserve"> Susanne Geissler, Veronika Reinberg, Siegrun Klug, Manfred Huchler (FHWN Wieselburg)</t>
    </r>
  </si>
  <si>
    <t xml:space="preserve">Wir danken für die Unterstützung durch Austrian Bioenergy Centre, Cimbria Heid, DYK-Mühle, und TU Wien (Institut für Verfahrenstechnik, Umwelttechnik </t>
  </si>
  <si>
    <t>und technische Biowissenschaften)!</t>
  </si>
  <si>
    <t xml:space="preserve">Studentinnen und Studenten der FHWN Wieselburg </t>
  </si>
  <si>
    <t xml:space="preserve">Der Nawaros-Planer wurde für die Vorbereitung der Demo-Anlage KernCraft Austria auf der Basis von Tools zur </t>
  </si>
  <si>
    <t xml:space="preserve">Erstellung von Business-Plänen entwickelt. Die Excel-Datei ist nicht gesperrt und kann für weitere Anwendungen im </t>
  </si>
  <si>
    <t>Bereich nachwachsende Rohstoffe adaptiert werden.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</si>
</sst>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0.0"/>
    <numFmt numFmtId="195" formatCode="_-* #,##0.000&quot;€&quot;_-;\-* #,##0.000&quot;€&quot;_-;_-* &quot;-&quot;??&quot;€&quot;_-;_-@_-"/>
    <numFmt numFmtId="196" formatCode="_-* #,##0.0&quot;€&quot;_-;\-* #,##0.0&quot;€&quot;_-;_-* &quot;-&quot;??&quot;€&quot;_-;_-@_-"/>
    <numFmt numFmtId="197" formatCode="_-* #,##0&quot;€&quot;_-;\-* #,##0&quot;€&quot;_-;_-* &quot;-&quot;??&quot;€&quot;_-;_-@_-"/>
    <numFmt numFmtId="198" formatCode="#,##0.0"/>
    <numFmt numFmtId="199" formatCode="0.0%"/>
    <numFmt numFmtId="200" formatCode="0.000"/>
    <numFmt numFmtId="201" formatCode="0.00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_-* #,##0.00&quot;€&quot;_-;\-* #,##0&quot;€&quot;_-;_-* &quot;-&quot;&quot;€&quot;_-;_-@_-"/>
    <numFmt numFmtId="207" formatCode="0.00\ &quot;%&quot;"/>
    <numFmt numFmtId="208" formatCode="0\ &quot;%&quot;"/>
    <numFmt numFmtId="209" formatCode="&quot;€&quot;\ #,##0"/>
    <numFmt numFmtId="210" formatCode="&quot;€&quot;\ #,##0.00"/>
    <numFmt numFmtId="211" formatCode="#,##0\ &quot;€&quot;"/>
    <numFmt numFmtId="212" formatCode="#,##0\ _€"/>
    <numFmt numFmtId="213" formatCode="#,##0.0\ &quot;€&quot;"/>
    <numFmt numFmtId="214" formatCode="#,##0.00\ &quot;€&quot;"/>
    <numFmt numFmtId="215" formatCode="#,##0.0000\ &quot;€&quot;"/>
    <numFmt numFmtId="216" formatCode="#,##0.000\ &quot;€&quot;"/>
    <numFmt numFmtId="217" formatCode="0.0000000"/>
    <numFmt numFmtId="218" formatCode="0.000000"/>
    <numFmt numFmtId="219" formatCode="0.00000"/>
    <numFmt numFmtId="220" formatCode="[$-407]dddd\,\ d\.\ mmmm\ yyyy"/>
    <numFmt numFmtId="221" formatCode="yyyy"/>
    <numFmt numFmtId="222" formatCode="#,##0.00&quot; €&quot;;[Red]#,##0.00&quot; €&quot;"/>
    <numFmt numFmtId="223" formatCode="0.00000000"/>
    <numFmt numFmtId="224" formatCode="#,##0_ ;[Red]\-#,##0\ 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Verdana"/>
      <family val="0"/>
    </font>
    <font>
      <i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sz val="12"/>
      <name val="Arial"/>
      <family val="0"/>
    </font>
    <font>
      <sz val="12"/>
      <name val="Verdana"/>
      <family val="0"/>
    </font>
    <font>
      <b/>
      <sz val="14.75"/>
      <name val="Arial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0"/>
    </font>
    <font>
      <sz val="11"/>
      <name val="Verdana"/>
      <family val="0"/>
    </font>
    <font>
      <b/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6" fontId="0" fillId="0" borderId="0" applyFont="0" applyFill="0" applyBorder="0" applyProtection="0">
      <alignment horizontal="right"/>
    </xf>
    <xf numFmtId="176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7" fillId="2" borderId="1" xfId="0" applyFont="1" applyFill="1" applyBorder="1" applyAlignment="1">
      <alignment vertical="top" wrapText="1"/>
    </xf>
    <xf numFmtId="0" fontId="7" fillId="0" borderId="2" xfId="0" applyFont="1" applyBorder="1" applyAlignment="1">
      <alignment/>
    </xf>
    <xf numFmtId="176" fontId="7" fillId="3" borderId="3" xfId="22" applyFont="1" applyFill="1" applyBorder="1">
      <alignment horizontal="right"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/>
    </xf>
    <xf numFmtId="3" fontId="7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6" xfId="21" applyNumberFormat="1" applyFont="1" applyBorder="1">
      <alignment/>
      <protection/>
    </xf>
    <xf numFmtId="0" fontId="7" fillId="0" borderId="4" xfId="21" applyFont="1" applyFill="1" applyBorder="1">
      <alignment/>
      <protection/>
    </xf>
    <xf numFmtId="3" fontId="7" fillId="0" borderId="5" xfId="21" applyNumberFormat="1" applyFont="1" applyFill="1" applyBorder="1">
      <alignment/>
      <protection/>
    </xf>
    <xf numFmtId="198" fontId="7" fillId="0" borderId="6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3" fontId="7" fillId="0" borderId="5" xfId="21" applyNumberFormat="1" applyFont="1" applyBorder="1">
      <alignment/>
      <protection/>
    </xf>
    <xf numFmtId="198" fontId="7" fillId="0" borderId="7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199" fontId="6" fillId="0" borderId="0" xfId="21" applyNumberFormat="1" applyFont="1" applyBorder="1">
      <alignment/>
      <protection/>
    </xf>
    <xf numFmtId="0" fontId="7" fillId="0" borderId="1" xfId="0" applyFont="1" applyBorder="1" applyAlignment="1">
      <alignment/>
    </xf>
    <xf numFmtId="0" fontId="6" fillId="2" borderId="8" xfId="21" applyFont="1" applyFill="1" applyBorder="1">
      <alignment/>
      <protection/>
    </xf>
    <xf numFmtId="3" fontId="6" fillId="2" borderId="9" xfId="21" applyNumberFormat="1" applyFont="1" applyFill="1" applyBorder="1">
      <alignment/>
      <protection/>
    </xf>
    <xf numFmtId="198" fontId="6" fillId="2" borderId="10" xfId="21" applyNumberFormat="1" applyFont="1" applyFill="1" applyBorder="1">
      <alignment/>
      <protection/>
    </xf>
    <xf numFmtId="0" fontId="6" fillId="2" borderId="11" xfId="2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198" fontId="6" fillId="2" borderId="13" xfId="21" applyNumberFormat="1" applyFont="1" applyFill="1" applyBorder="1">
      <alignment/>
      <protection/>
    </xf>
    <xf numFmtId="0" fontId="6" fillId="2" borderId="14" xfId="2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198" fontId="6" fillId="2" borderId="16" xfId="21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6" fontId="7" fillId="0" borderId="0" xfId="22" applyFont="1" applyFill="1" applyBorder="1">
      <alignment horizontal="right"/>
    </xf>
    <xf numFmtId="176" fontId="6" fillId="0" borderId="0" xfId="22" applyFont="1" applyFill="1" applyBorder="1">
      <alignment horizontal="right"/>
    </xf>
    <xf numFmtId="200" fontId="7" fillId="0" borderId="0" xfId="0" applyNumberFormat="1" applyFont="1" applyAlignment="1">
      <alignment/>
    </xf>
    <xf numFmtId="20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Alignment="1">
      <alignment/>
    </xf>
    <xf numFmtId="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9" fontId="6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21" applyFont="1" applyFill="1">
      <alignment/>
      <protection/>
    </xf>
    <xf numFmtId="9" fontId="6" fillId="0" borderId="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7" fillId="2" borderId="20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14" fillId="5" borderId="8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5" borderId="22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/>
    </xf>
    <xf numFmtId="176" fontId="7" fillId="5" borderId="21" xfId="22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211" fontId="7" fillId="5" borderId="21" xfId="22" applyNumberFormat="1" applyFont="1" applyFill="1" applyBorder="1" applyAlignment="1">
      <alignment horizontal="center"/>
    </xf>
    <xf numFmtId="211" fontId="7" fillId="5" borderId="3" xfId="0" applyNumberFormat="1" applyFont="1" applyFill="1" applyBorder="1" applyAlignment="1">
      <alignment horizontal="center"/>
    </xf>
    <xf numFmtId="214" fontId="7" fillId="5" borderId="21" xfId="22" applyNumberFormat="1" applyFont="1" applyFill="1" applyBorder="1" applyAlignment="1">
      <alignment horizontal="center"/>
    </xf>
    <xf numFmtId="214" fontId="7" fillId="5" borderId="3" xfId="0" applyNumberFormat="1" applyFont="1" applyFill="1" applyBorder="1" applyAlignment="1">
      <alignment horizontal="center"/>
    </xf>
    <xf numFmtId="0" fontId="7" fillId="5" borderId="25" xfId="0" applyFont="1" applyFill="1" applyBorder="1" applyAlignment="1">
      <alignment/>
    </xf>
    <xf numFmtId="206" fontId="7" fillId="5" borderId="21" xfId="22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 vertical="top" wrapText="1"/>
    </xf>
    <xf numFmtId="176" fontId="7" fillId="6" borderId="21" xfId="22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27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27" xfId="0" applyFont="1" applyFill="1" applyBorder="1" applyAlignment="1">
      <alignment horizontal="center"/>
    </xf>
    <xf numFmtId="0" fontId="7" fillId="6" borderId="21" xfId="0" applyFont="1" applyFill="1" applyBorder="1" applyAlignment="1">
      <alignment/>
    </xf>
    <xf numFmtId="213" fontId="7" fillId="6" borderId="21" xfId="0" applyNumberFormat="1" applyFont="1" applyFill="1" applyBorder="1" applyAlignment="1">
      <alignment horizontal="center"/>
    </xf>
    <xf numFmtId="213" fontId="7" fillId="6" borderId="3" xfId="0" applyNumberFormat="1" applyFont="1" applyFill="1" applyBorder="1" applyAlignment="1">
      <alignment horizontal="center"/>
    </xf>
    <xf numFmtId="213" fontId="7" fillId="6" borderId="27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14" fontId="7" fillId="2" borderId="27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213" fontId="7" fillId="2" borderId="21" xfId="0" applyNumberFormat="1" applyFont="1" applyFill="1" applyBorder="1" applyAlignment="1">
      <alignment horizontal="center"/>
    </xf>
    <xf numFmtId="213" fontId="7" fillId="2" borderId="3" xfId="0" applyNumberFormat="1" applyFont="1" applyFill="1" applyBorder="1" applyAlignment="1">
      <alignment horizontal="center"/>
    </xf>
    <xf numFmtId="213" fontId="7" fillId="2" borderId="27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 horizontal="center"/>
    </xf>
    <xf numFmtId="213" fontId="7" fillId="2" borderId="31" xfId="0" applyNumberFormat="1" applyFont="1" applyFill="1" applyBorder="1" applyAlignment="1">
      <alignment horizontal="center"/>
    </xf>
    <xf numFmtId="213" fontId="7" fillId="2" borderId="32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214" fontId="7" fillId="5" borderId="21" xfId="0" applyNumberFormat="1" applyFont="1" applyFill="1" applyBorder="1" applyAlignment="1">
      <alignment horizontal="center"/>
    </xf>
    <xf numFmtId="214" fontId="7" fillId="2" borderId="27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7" fillId="8" borderId="23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/>
    </xf>
    <xf numFmtId="9" fontId="7" fillId="8" borderId="21" xfId="0" applyNumberFormat="1" applyFont="1" applyFill="1" applyBorder="1" applyAlignment="1">
      <alignment horizontal="center"/>
    </xf>
    <xf numFmtId="9" fontId="7" fillId="8" borderId="3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9" fontId="7" fillId="9" borderId="3" xfId="0" applyNumberFormat="1" applyFont="1" applyFill="1" applyBorder="1" applyAlignment="1">
      <alignment horizontal="center"/>
    </xf>
    <xf numFmtId="9" fontId="7" fillId="8" borderId="30" xfId="0" applyNumberFormat="1" applyFont="1" applyFill="1" applyBorder="1" applyAlignment="1">
      <alignment horizontal="center"/>
    </xf>
    <xf numFmtId="200" fontId="7" fillId="10" borderId="3" xfId="0" applyNumberFormat="1" applyFont="1" applyFill="1" applyBorder="1" applyAlignment="1">
      <alignment horizontal="right" vertical="top" wrapText="1"/>
    </xf>
    <xf numFmtId="200" fontId="7" fillId="10" borderId="31" xfId="0" applyNumberFormat="1" applyFont="1" applyFill="1" applyBorder="1" applyAlignment="1">
      <alignment horizontal="right" vertical="top" wrapText="1"/>
    </xf>
    <xf numFmtId="0" fontId="7" fillId="10" borderId="6" xfId="0" applyFont="1" applyFill="1" applyBorder="1" applyAlignment="1">
      <alignment/>
    </xf>
    <xf numFmtId="200" fontId="7" fillId="10" borderId="27" xfId="0" applyNumberFormat="1" applyFont="1" applyFill="1" applyBorder="1" applyAlignment="1">
      <alignment horizontal="right" vertical="top" wrapText="1"/>
    </xf>
    <xf numFmtId="211" fontId="7" fillId="3" borderId="3" xfId="0" applyNumberFormat="1" applyFont="1" applyFill="1" applyBorder="1" applyAlignment="1">
      <alignment/>
    </xf>
    <xf numFmtId="9" fontId="7" fillId="9" borderId="31" xfId="0" applyNumberFormat="1" applyFont="1" applyFill="1" applyBorder="1" applyAlignment="1">
      <alignment horizontal="center"/>
    </xf>
    <xf numFmtId="9" fontId="7" fillId="8" borderId="31" xfId="0" applyNumberFormat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 vertical="top" wrapText="1"/>
    </xf>
    <xf numFmtId="200" fontId="7" fillId="10" borderId="33" xfId="0" applyNumberFormat="1" applyFont="1" applyFill="1" applyBorder="1" applyAlignment="1">
      <alignment horizontal="center" vertical="top" wrapText="1"/>
    </xf>
    <xf numFmtId="200" fontId="7" fillId="10" borderId="32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/>
    </xf>
    <xf numFmtId="211" fontId="7" fillId="3" borderId="31" xfId="0" applyNumberFormat="1" applyFont="1" applyFill="1" applyBorder="1" applyAlignment="1">
      <alignment/>
    </xf>
    <xf numFmtId="0" fontId="7" fillId="0" borderId="34" xfId="0" applyFont="1" applyBorder="1" applyAlignment="1">
      <alignment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7" fillId="9" borderId="36" xfId="0" applyFont="1" applyFill="1" applyBorder="1" applyAlignment="1">
      <alignment horizontal="center" vertical="top" wrapText="1"/>
    </xf>
    <xf numFmtId="9" fontId="7" fillId="9" borderId="2" xfId="0" applyNumberFormat="1" applyFont="1" applyFill="1" applyBorder="1" applyAlignment="1">
      <alignment horizontal="center"/>
    </xf>
    <xf numFmtId="9" fontId="7" fillId="5" borderId="25" xfId="0" applyNumberFormat="1" applyFont="1" applyFill="1" applyBorder="1" applyAlignment="1">
      <alignment horizontal="center"/>
    </xf>
    <xf numFmtId="9" fontId="7" fillId="5" borderId="29" xfId="0" applyNumberFormat="1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 vertical="top" wrapText="1"/>
    </xf>
    <xf numFmtId="9" fontId="7" fillId="8" borderId="38" xfId="0" applyNumberFormat="1" applyFont="1" applyFill="1" applyBorder="1" applyAlignment="1">
      <alignment horizontal="center"/>
    </xf>
    <xf numFmtId="0" fontId="7" fillId="10" borderId="39" xfId="0" applyFont="1" applyFill="1" applyBorder="1" applyAlignment="1">
      <alignment horizontal="center" vertical="top" wrapText="1"/>
    </xf>
    <xf numFmtId="0" fontId="7" fillId="10" borderId="40" xfId="0" applyFont="1" applyFill="1" applyBorder="1" applyAlignment="1">
      <alignment vertical="top" wrapText="1"/>
    </xf>
    <xf numFmtId="0" fontId="7" fillId="5" borderId="24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/>
    </xf>
    <xf numFmtId="200" fontId="7" fillId="10" borderId="0" xfId="0" applyNumberFormat="1" applyFont="1" applyFill="1" applyBorder="1" applyAlignment="1">
      <alignment/>
    </xf>
    <xf numFmtId="9" fontId="7" fillId="5" borderId="41" xfId="0" applyNumberFormat="1" applyFont="1" applyFill="1" applyBorder="1" applyAlignment="1">
      <alignment horizontal="center"/>
    </xf>
    <xf numFmtId="9" fontId="7" fillId="5" borderId="42" xfId="0" applyNumberFormat="1" applyFont="1" applyFill="1" applyBorder="1" applyAlignment="1">
      <alignment horizontal="center"/>
    </xf>
    <xf numFmtId="0" fontId="7" fillId="5" borderId="43" xfId="0" applyFont="1" applyFill="1" applyBorder="1" applyAlignment="1">
      <alignment vertical="top" wrapText="1"/>
    </xf>
    <xf numFmtId="0" fontId="7" fillId="10" borderId="44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/>
    </xf>
    <xf numFmtId="0" fontId="6" fillId="4" borderId="2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/>
    </xf>
    <xf numFmtId="1" fontId="7" fillId="5" borderId="25" xfId="0" applyNumberFormat="1" applyFont="1" applyFill="1" applyBorder="1" applyAlignment="1">
      <alignment horizontal="center" vertical="top" wrapText="1"/>
    </xf>
    <xf numFmtId="1" fontId="7" fillId="5" borderId="29" xfId="0" applyNumberFormat="1" applyFont="1" applyFill="1" applyBorder="1" applyAlignment="1">
      <alignment horizontal="center" vertical="top" wrapText="1"/>
    </xf>
    <xf numFmtId="194" fontId="7" fillId="9" borderId="26" xfId="0" applyNumberFormat="1" applyFont="1" applyFill="1" applyBorder="1" applyAlignment="1">
      <alignment horizontal="right" vertical="top" wrapText="1"/>
    </xf>
    <xf numFmtId="194" fontId="7" fillId="9" borderId="3" xfId="0" applyNumberFormat="1" applyFont="1" applyFill="1" applyBorder="1" applyAlignment="1">
      <alignment horizontal="right" vertical="top" wrapText="1"/>
    </xf>
    <xf numFmtId="194" fontId="7" fillId="9" borderId="31" xfId="0" applyNumberFormat="1" applyFont="1" applyFill="1" applyBorder="1" applyAlignment="1">
      <alignment horizontal="right" vertical="top" wrapText="1"/>
    </xf>
    <xf numFmtId="194" fontId="7" fillId="9" borderId="45" xfId="0" applyNumberFormat="1" applyFont="1" applyFill="1" applyBorder="1" applyAlignment="1">
      <alignment horizontal="right" vertical="top" wrapText="1"/>
    </xf>
    <xf numFmtId="194" fontId="7" fillId="9" borderId="46" xfId="0" applyNumberFormat="1" applyFont="1" applyFill="1" applyBorder="1" applyAlignment="1">
      <alignment horizontal="right" vertical="top" wrapText="1"/>
    </xf>
    <xf numFmtId="194" fontId="7" fillId="8" borderId="47" xfId="0" applyNumberFormat="1" applyFont="1" applyFill="1" applyBorder="1" applyAlignment="1">
      <alignment horizontal="right" vertical="top" wrapText="1"/>
    </xf>
    <xf numFmtId="194" fontId="7" fillId="8" borderId="3" xfId="0" applyNumberFormat="1" applyFont="1" applyFill="1" applyBorder="1" applyAlignment="1">
      <alignment horizontal="right" vertical="top" wrapText="1"/>
    </xf>
    <xf numFmtId="194" fontId="7" fillId="8" borderId="31" xfId="0" applyNumberFormat="1" applyFont="1" applyFill="1" applyBorder="1" applyAlignment="1">
      <alignment horizontal="right" vertical="top" wrapText="1"/>
    </xf>
    <xf numFmtId="9" fontId="7" fillId="10" borderId="38" xfId="0" applyNumberFormat="1" applyFont="1" applyFill="1" applyBorder="1" applyAlignment="1">
      <alignment horizontal="center"/>
    </xf>
    <xf numFmtId="9" fontId="7" fillId="10" borderId="21" xfId="0" applyNumberFormat="1" applyFont="1" applyFill="1" applyBorder="1" applyAlignment="1">
      <alignment horizontal="center"/>
    </xf>
    <xf numFmtId="9" fontId="7" fillId="10" borderId="30" xfId="0" applyNumberFormat="1" applyFont="1" applyFill="1" applyBorder="1" applyAlignment="1">
      <alignment horizontal="center"/>
    </xf>
    <xf numFmtId="9" fontId="7" fillId="10" borderId="3" xfId="0" applyNumberFormat="1" applyFont="1" applyFill="1" applyBorder="1" applyAlignment="1">
      <alignment horizontal="center"/>
    </xf>
    <xf numFmtId="9" fontId="7" fillId="10" borderId="31" xfId="0" applyNumberFormat="1" applyFont="1" applyFill="1" applyBorder="1" applyAlignment="1">
      <alignment horizontal="center"/>
    </xf>
    <xf numFmtId="0" fontId="7" fillId="12" borderId="35" xfId="0" applyFont="1" applyFill="1" applyBorder="1" applyAlignment="1">
      <alignment/>
    </xf>
    <xf numFmtId="0" fontId="7" fillId="13" borderId="25" xfId="0" applyFont="1" applyFill="1" applyBorder="1" applyAlignment="1">
      <alignment/>
    </xf>
    <xf numFmtId="0" fontId="7" fillId="8" borderId="25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4" borderId="29" xfId="0" applyFont="1" applyFill="1" applyBorder="1" applyAlignment="1">
      <alignment/>
    </xf>
    <xf numFmtId="0" fontId="7" fillId="11" borderId="35" xfId="0" applyFont="1" applyFill="1" applyBorder="1" applyAlignment="1">
      <alignment horizontal="center" vertical="top" wrapText="1"/>
    </xf>
    <xf numFmtId="0" fontId="7" fillId="11" borderId="25" xfId="0" applyFont="1" applyFill="1" applyBorder="1" applyAlignment="1">
      <alignment horizontal="center" vertical="top" wrapText="1"/>
    </xf>
    <xf numFmtId="0" fontId="7" fillId="11" borderId="2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/>
    </xf>
    <xf numFmtId="0" fontId="7" fillId="1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" fontId="7" fillId="5" borderId="35" xfId="0" applyNumberFormat="1" applyFont="1" applyFill="1" applyBorder="1" applyAlignment="1">
      <alignment horizontal="center" vertical="top" wrapText="1"/>
    </xf>
    <xf numFmtId="194" fontId="7" fillId="9" borderId="36" xfId="0" applyNumberFormat="1" applyFont="1" applyFill="1" applyBorder="1" applyAlignment="1">
      <alignment horizontal="right" vertical="top" wrapText="1"/>
    </xf>
    <xf numFmtId="9" fontId="7" fillId="5" borderId="35" xfId="0" applyNumberFormat="1" applyFont="1" applyFill="1" applyBorder="1" applyAlignment="1">
      <alignment horizontal="center"/>
    </xf>
    <xf numFmtId="194" fontId="7" fillId="9" borderId="40" xfId="0" applyNumberFormat="1" applyFont="1" applyFill="1" applyBorder="1" applyAlignment="1">
      <alignment horizontal="right" vertical="top" wrapText="1"/>
    </xf>
    <xf numFmtId="194" fontId="7" fillId="8" borderId="37" xfId="0" applyNumberFormat="1" applyFont="1" applyFill="1" applyBorder="1" applyAlignment="1">
      <alignment horizontal="right" vertical="top" wrapText="1"/>
    </xf>
    <xf numFmtId="9" fontId="7" fillId="8" borderId="23" xfId="0" applyNumberFormat="1" applyFont="1" applyFill="1" applyBorder="1" applyAlignment="1">
      <alignment horizontal="center"/>
    </xf>
    <xf numFmtId="200" fontId="7" fillId="10" borderId="23" xfId="0" applyNumberFormat="1" applyFont="1" applyFill="1" applyBorder="1" applyAlignment="1">
      <alignment horizontal="right" vertical="top" wrapText="1"/>
    </xf>
    <xf numFmtId="200" fontId="7" fillId="10" borderId="28" xfId="0" applyNumberFormat="1" applyFont="1" applyFill="1" applyBorder="1" applyAlignment="1">
      <alignment horizontal="right" vertical="top" wrapText="1"/>
    </xf>
    <xf numFmtId="9" fontId="7" fillId="5" borderId="43" xfId="0" applyNumberFormat="1" applyFont="1" applyFill="1" applyBorder="1" applyAlignment="1">
      <alignment horizontal="center"/>
    </xf>
    <xf numFmtId="211" fontId="7" fillId="3" borderId="23" xfId="0" applyNumberFormat="1" applyFont="1" applyFill="1" applyBorder="1" applyAlignment="1">
      <alignment/>
    </xf>
    <xf numFmtId="0" fontId="7" fillId="0" borderId="3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194" fontId="7" fillId="9" borderId="23" xfId="0" applyNumberFormat="1" applyFont="1" applyFill="1" applyBorder="1" applyAlignment="1">
      <alignment horizontal="right" vertical="top" wrapText="1"/>
    </xf>
    <xf numFmtId="9" fontId="7" fillId="9" borderId="23" xfId="0" applyNumberFormat="1" applyFont="1" applyFill="1" applyBorder="1" applyAlignment="1">
      <alignment horizontal="center"/>
    </xf>
    <xf numFmtId="9" fontId="7" fillId="8" borderId="22" xfId="0" applyNumberFormat="1" applyFont="1" applyFill="1" applyBorder="1" applyAlignment="1">
      <alignment horizontal="center"/>
    </xf>
    <xf numFmtId="194" fontId="7" fillId="8" borderId="23" xfId="0" applyNumberFormat="1" applyFont="1" applyFill="1" applyBorder="1" applyAlignment="1">
      <alignment horizontal="right" vertical="top" wrapText="1"/>
    </xf>
    <xf numFmtId="9" fontId="7" fillId="10" borderId="22" xfId="0" applyNumberFormat="1" applyFont="1" applyFill="1" applyBorder="1" applyAlignment="1">
      <alignment horizontal="center"/>
    </xf>
    <xf numFmtId="9" fontId="7" fillId="10" borderId="23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211" fontId="7" fillId="0" borderId="0" xfId="0" applyNumberFormat="1" applyFont="1" applyAlignment="1">
      <alignment/>
    </xf>
    <xf numFmtId="211" fontId="9" fillId="4" borderId="17" xfId="0" applyNumberFormat="1" applyFont="1" applyFill="1" applyBorder="1" applyAlignment="1">
      <alignment/>
    </xf>
    <xf numFmtId="200" fontId="7" fillId="7" borderId="3" xfId="0" applyNumberFormat="1" applyFont="1" applyFill="1" applyBorder="1" applyAlignment="1">
      <alignment horizontal="right"/>
    </xf>
    <xf numFmtId="200" fontId="7" fillId="7" borderId="26" xfId="0" applyNumberFormat="1" applyFont="1" applyFill="1" applyBorder="1" applyAlignment="1">
      <alignment horizontal="right"/>
    </xf>
    <xf numFmtId="200" fontId="7" fillId="7" borderId="41" xfId="0" applyNumberFormat="1" applyFont="1" applyFill="1" applyBorder="1" applyAlignment="1">
      <alignment horizontal="right"/>
    </xf>
    <xf numFmtId="200" fontId="7" fillId="7" borderId="31" xfId="0" applyNumberFormat="1" applyFont="1" applyFill="1" applyBorder="1" applyAlignment="1">
      <alignment horizontal="right"/>
    </xf>
    <xf numFmtId="200" fontId="7" fillId="7" borderId="46" xfId="0" applyNumberFormat="1" applyFont="1" applyFill="1" applyBorder="1" applyAlignment="1">
      <alignment horizontal="right"/>
    </xf>
    <xf numFmtId="200" fontId="7" fillId="7" borderId="42" xfId="0" applyNumberFormat="1" applyFont="1" applyFill="1" applyBorder="1" applyAlignment="1">
      <alignment horizontal="right"/>
    </xf>
    <xf numFmtId="200" fontId="7" fillId="7" borderId="23" xfId="0" applyNumberFormat="1" applyFont="1" applyFill="1" applyBorder="1" applyAlignment="1">
      <alignment horizontal="right"/>
    </xf>
    <xf numFmtId="200" fontId="7" fillId="7" borderId="36" xfId="0" applyNumberFormat="1" applyFont="1" applyFill="1" applyBorder="1" applyAlignment="1">
      <alignment horizontal="right"/>
    </xf>
    <xf numFmtId="200" fontId="7" fillId="7" borderId="43" xfId="0" applyNumberFormat="1" applyFont="1" applyFill="1" applyBorder="1" applyAlignment="1">
      <alignment horizontal="right"/>
    </xf>
    <xf numFmtId="200" fontId="7" fillId="7" borderId="28" xfId="0" applyNumberFormat="1" applyFont="1" applyFill="1" applyBorder="1" applyAlignment="1">
      <alignment horizontal="right"/>
    </xf>
    <xf numFmtId="9" fontId="7" fillId="11" borderId="23" xfId="0" applyNumberFormat="1" applyFont="1" applyFill="1" applyBorder="1" applyAlignment="1">
      <alignment horizontal="center"/>
    </xf>
    <xf numFmtId="9" fontId="7" fillId="11" borderId="3" xfId="0" applyNumberFormat="1" applyFont="1" applyFill="1" applyBorder="1" applyAlignment="1">
      <alignment horizontal="center"/>
    </xf>
    <xf numFmtId="9" fontId="7" fillId="11" borderId="31" xfId="0" applyNumberFormat="1" applyFont="1" applyFill="1" applyBorder="1" applyAlignment="1">
      <alignment horizontal="center"/>
    </xf>
    <xf numFmtId="200" fontId="7" fillId="11" borderId="37" xfId="0" applyNumberFormat="1" applyFont="1" applyFill="1" applyBorder="1" applyAlignment="1">
      <alignment/>
    </xf>
    <xf numFmtId="200" fontId="7" fillId="11" borderId="47" xfId="0" applyNumberFormat="1" applyFont="1" applyFill="1" applyBorder="1" applyAlignment="1">
      <alignment/>
    </xf>
    <xf numFmtId="200" fontId="7" fillId="11" borderId="54" xfId="0" applyNumberFormat="1" applyFont="1" applyFill="1" applyBorder="1" applyAlignment="1">
      <alignment/>
    </xf>
    <xf numFmtId="200" fontId="7" fillId="11" borderId="36" xfId="0" applyNumberFormat="1" applyFont="1" applyFill="1" applyBorder="1" applyAlignment="1">
      <alignment/>
    </xf>
    <xf numFmtId="200" fontId="7" fillId="11" borderId="26" xfId="0" applyNumberFormat="1" applyFont="1" applyFill="1" applyBorder="1" applyAlignment="1">
      <alignment/>
    </xf>
    <xf numFmtId="200" fontId="7" fillId="11" borderId="46" xfId="0" applyNumberFormat="1" applyFont="1" applyFill="1" applyBorder="1" applyAlignment="1">
      <alignment/>
    </xf>
    <xf numFmtId="200" fontId="7" fillId="10" borderId="37" xfId="0" applyNumberFormat="1" applyFont="1" applyFill="1" applyBorder="1" applyAlignment="1">
      <alignment horizontal="right" vertical="top" wrapText="1"/>
    </xf>
    <xf numFmtId="200" fontId="7" fillId="10" borderId="47" xfId="0" applyNumberFormat="1" applyFont="1" applyFill="1" applyBorder="1" applyAlignment="1">
      <alignment horizontal="right" vertical="top" wrapText="1"/>
    </xf>
    <xf numFmtId="200" fontId="7" fillId="10" borderId="40" xfId="0" applyNumberFormat="1" applyFont="1" applyFill="1" applyBorder="1" applyAlignment="1">
      <alignment/>
    </xf>
    <xf numFmtId="200" fontId="7" fillId="10" borderId="45" xfId="0" applyNumberFormat="1" applyFont="1" applyFill="1" applyBorder="1" applyAlignment="1">
      <alignment/>
    </xf>
    <xf numFmtId="200" fontId="7" fillId="10" borderId="55" xfId="0" applyNumberFormat="1" applyFont="1" applyFill="1" applyBorder="1" applyAlignment="1">
      <alignment/>
    </xf>
    <xf numFmtId="176" fontId="7" fillId="5" borderId="3" xfId="22" applyFont="1" applyFill="1" applyBorder="1">
      <alignment horizontal="right"/>
    </xf>
    <xf numFmtId="0" fontId="6" fillId="15" borderId="3" xfId="0" applyFont="1" applyFill="1" applyBorder="1" applyAlignment="1">
      <alignment/>
    </xf>
    <xf numFmtId="0" fontId="7" fillId="15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0" fontId="7" fillId="6" borderId="3" xfId="0" applyFont="1" applyFill="1" applyBorder="1" applyAlignment="1">
      <alignment/>
    </xf>
    <xf numFmtId="0" fontId="6" fillId="10" borderId="0" xfId="21" applyFont="1" applyFill="1">
      <alignment/>
      <protection/>
    </xf>
    <xf numFmtId="3" fontId="7" fillId="10" borderId="0" xfId="21" applyNumberFormat="1" applyFont="1" applyFill="1">
      <alignment/>
      <protection/>
    </xf>
    <xf numFmtId="0" fontId="7" fillId="0" borderId="0" xfId="21" applyFont="1" applyBorder="1">
      <alignment/>
      <protection/>
    </xf>
    <xf numFmtId="3" fontId="7" fillId="0" borderId="0" xfId="21" applyNumberFormat="1" applyFont="1" applyBorder="1">
      <alignment/>
      <protection/>
    </xf>
    <xf numFmtId="3" fontId="7" fillId="10" borderId="0" xfId="21" applyNumberFormat="1" applyFont="1" applyFill="1" applyBorder="1">
      <alignment/>
      <protection/>
    </xf>
    <xf numFmtId="0" fontId="7" fillId="6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56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26" xfId="0" applyFont="1" applyFill="1" applyBorder="1" applyAlignment="1">
      <alignment horizontal="center" vertical="top"/>
    </xf>
    <xf numFmtId="211" fontId="7" fillId="5" borderId="3" xfId="0" applyNumberFormat="1" applyFont="1" applyFill="1" applyBorder="1" applyAlignment="1">
      <alignment/>
    </xf>
    <xf numFmtId="211" fontId="7" fillId="5" borderId="3" xfId="18" applyNumberFormat="1" applyFont="1" applyFill="1" applyBorder="1" applyAlignment="1">
      <alignment/>
    </xf>
    <xf numFmtId="211" fontId="7" fillId="5" borderId="3" xfId="22" applyNumberFormat="1" applyFont="1" applyFill="1" applyBorder="1">
      <alignment horizontal="right"/>
    </xf>
    <xf numFmtId="211" fontId="7" fillId="2" borderId="18" xfId="22" applyNumberFormat="1" applyFont="1" applyFill="1" applyBorder="1" applyAlignment="1">
      <alignment vertical="top" wrapText="1"/>
    </xf>
    <xf numFmtId="211" fontId="7" fillId="2" borderId="57" xfId="22" applyNumberFormat="1" applyFont="1" applyFill="1" applyBorder="1" applyAlignment="1">
      <alignment vertical="top" wrapText="1"/>
    </xf>
    <xf numFmtId="4" fontId="7" fillId="0" borderId="0" xfId="21" applyNumberFormat="1" applyFont="1" applyFill="1">
      <alignment/>
      <protection/>
    </xf>
    <xf numFmtId="0" fontId="7" fillId="0" borderId="0" xfId="0" applyFont="1" applyFill="1" applyAlignment="1">
      <alignment wrapText="1"/>
    </xf>
    <xf numFmtId="0" fontId="15" fillId="5" borderId="8" xfId="0" applyFont="1" applyFill="1" applyBorder="1" applyAlignment="1">
      <alignment vertical="top" wrapText="1"/>
    </xf>
    <xf numFmtId="0" fontId="7" fillId="0" borderId="58" xfId="0" applyFont="1" applyBorder="1" applyAlignment="1">
      <alignment/>
    </xf>
    <xf numFmtId="0" fontId="7" fillId="0" borderId="25" xfId="0" applyFont="1" applyBorder="1" applyAlignment="1">
      <alignment/>
    </xf>
    <xf numFmtId="214" fontId="7" fillId="5" borderId="25" xfId="0" applyNumberFormat="1" applyFont="1" applyFill="1" applyBorder="1" applyAlignment="1">
      <alignment/>
    </xf>
    <xf numFmtId="214" fontId="7" fillId="5" borderId="29" xfId="0" applyNumberFormat="1" applyFont="1" applyFill="1" applyBorder="1" applyAlignment="1">
      <alignment/>
    </xf>
    <xf numFmtId="176" fontId="7" fillId="3" borderId="56" xfId="22" applyFont="1" applyFill="1" applyBorder="1">
      <alignment horizontal="right"/>
    </xf>
    <xf numFmtId="176" fontId="7" fillId="3" borderId="59" xfId="22" applyFont="1" applyFill="1" applyBorder="1" applyAlignment="1">
      <alignment wrapText="1"/>
    </xf>
    <xf numFmtId="176" fontId="7" fillId="5" borderId="22" xfId="22" applyFont="1" applyFill="1" applyBorder="1">
      <alignment horizontal="right"/>
    </xf>
    <xf numFmtId="176" fontId="7" fillId="5" borderId="23" xfId="22" applyFont="1" applyFill="1" applyBorder="1">
      <alignment horizontal="right"/>
    </xf>
    <xf numFmtId="176" fontId="7" fillId="5" borderId="28" xfId="22" applyFont="1" applyFill="1" applyBorder="1">
      <alignment horizontal="right"/>
    </xf>
    <xf numFmtId="176" fontId="7" fillId="5" borderId="21" xfId="22" applyFont="1" applyFill="1" applyBorder="1">
      <alignment horizontal="right"/>
    </xf>
    <xf numFmtId="176" fontId="7" fillId="5" borderId="27" xfId="22" applyFont="1" applyFill="1" applyBorder="1">
      <alignment horizontal="right"/>
    </xf>
    <xf numFmtId="176" fontId="7" fillId="5" borderId="30" xfId="22" applyFont="1" applyFill="1" applyBorder="1">
      <alignment horizontal="right"/>
    </xf>
    <xf numFmtId="176" fontId="7" fillId="5" borderId="31" xfId="22" applyFont="1" applyFill="1" applyBorder="1">
      <alignment horizontal="right"/>
    </xf>
    <xf numFmtId="176" fontId="7" fillId="5" borderId="32" xfId="22" applyFont="1" applyFill="1" applyBorder="1">
      <alignment horizontal="right"/>
    </xf>
    <xf numFmtId="0" fontId="7" fillId="3" borderId="45" xfId="0" applyFont="1" applyFill="1" applyBorder="1" applyAlignment="1">
      <alignment/>
    </xf>
    <xf numFmtId="0" fontId="7" fillId="15" borderId="56" xfId="0" applyFont="1" applyFill="1" applyBorder="1" applyAlignment="1">
      <alignment/>
    </xf>
    <xf numFmtId="0" fontId="7" fillId="15" borderId="59" xfId="0" applyFont="1" applyFill="1" applyBorder="1" applyAlignment="1">
      <alignment wrapText="1"/>
    </xf>
    <xf numFmtId="0" fontId="7" fillId="5" borderId="35" xfId="0" applyFont="1" applyFill="1" applyBorder="1" applyAlignment="1">
      <alignment/>
    </xf>
    <xf numFmtId="0" fontId="7" fillId="5" borderId="25" xfId="0" applyFont="1" applyFill="1" applyBorder="1" applyAlignment="1">
      <alignment/>
    </xf>
    <xf numFmtId="0" fontId="7" fillId="5" borderId="29" xfId="0" applyFont="1" applyFill="1" applyBorder="1" applyAlignment="1">
      <alignment/>
    </xf>
    <xf numFmtId="214" fontId="7" fillId="5" borderId="25" xfId="0" applyNumberFormat="1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15" fillId="5" borderId="8" xfId="0" applyFont="1" applyFill="1" applyBorder="1" applyAlignment="1">
      <alignment wrapText="1"/>
    </xf>
    <xf numFmtId="9" fontId="7" fillId="5" borderId="8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center" vertical="top" wrapText="1"/>
    </xf>
    <xf numFmtId="213" fontId="7" fillId="5" borderId="21" xfId="22" applyNumberFormat="1" applyFont="1" applyFill="1" applyBorder="1" applyAlignment="1">
      <alignment horizontal="center"/>
    </xf>
    <xf numFmtId="213" fontId="7" fillId="5" borderId="3" xfId="0" applyNumberFormat="1" applyFont="1" applyFill="1" applyBorder="1" applyAlignment="1">
      <alignment horizontal="center"/>
    </xf>
    <xf numFmtId="194" fontId="7" fillId="0" borderId="0" xfId="0" applyNumberFormat="1" applyFont="1" applyAlignment="1">
      <alignment/>
    </xf>
    <xf numFmtId="0" fontId="7" fillId="10" borderId="60" xfId="0" applyFont="1" applyFill="1" applyBorder="1" applyAlignment="1">
      <alignment horizontal="center" vertical="top" wrapText="1"/>
    </xf>
    <xf numFmtId="200" fontId="7" fillId="10" borderId="51" xfId="0" applyNumberFormat="1" applyFont="1" applyFill="1" applyBorder="1" applyAlignment="1">
      <alignment horizontal="right" vertical="top" wrapText="1"/>
    </xf>
    <xf numFmtId="200" fontId="7" fillId="10" borderId="52" xfId="0" applyNumberFormat="1" applyFont="1" applyFill="1" applyBorder="1" applyAlignment="1">
      <alignment horizontal="right" vertical="top" wrapText="1"/>
    </xf>
    <xf numFmtId="200" fontId="7" fillId="10" borderId="61" xfId="0" applyNumberFormat="1" applyFont="1" applyFill="1" applyBorder="1" applyAlignment="1">
      <alignment horizontal="right" vertical="top" wrapText="1"/>
    </xf>
    <xf numFmtId="200" fontId="7" fillId="10" borderId="53" xfId="0" applyNumberFormat="1" applyFont="1" applyFill="1" applyBorder="1" applyAlignment="1">
      <alignment horizontal="right" vertical="top" wrapText="1"/>
    </xf>
    <xf numFmtId="0" fontId="7" fillId="10" borderId="62" xfId="0" applyFont="1" applyFill="1" applyBorder="1" applyAlignment="1">
      <alignment horizontal="center" vertical="top" wrapText="1"/>
    </xf>
    <xf numFmtId="200" fontId="7" fillId="10" borderId="43" xfId="0" applyNumberFormat="1" applyFont="1" applyFill="1" applyBorder="1" applyAlignment="1">
      <alignment horizontal="right" vertical="top" wrapText="1"/>
    </xf>
    <xf numFmtId="200" fontId="7" fillId="10" borderId="41" xfId="0" applyNumberFormat="1" applyFont="1" applyFill="1" applyBorder="1" applyAlignment="1">
      <alignment horizontal="right" vertical="top" wrapText="1"/>
    </xf>
    <xf numFmtId="9" fontId="7" fillId="5" borderId="25" xfId="0" applyNumberFormat="1" applyFont="1" applyFill="1" applyBorder="1" applyAlignment="1">
      <alignment/>
    </xf>
    <xf numFmtId="9" fontId="7" fillId="5" borderId="29" xfId="0" applyNumberFormat="1" applyFont="1" applyFill="1" applyBorder="1" applyAlignment="1">
      <alignment/>
    </xf>
    <xf numFmtId="9" fontId="7" fillId="5" borderId="35" xfId="0" applyNumberFormat="1" applyFont="1" applyFill="1" applyBorder="1" applyAlignment="1">
      <alignment/>
    </xf>
    <xf numFmtId="9" fontId="7" fillId="10" borderId="34" xfId="0" applyNumberFormat="1" applyFont="1" applyFill="1" applyBorder="1" applyAlignment="1">
      <alignment/>
    </xf>
    <xf numFmtId="9" fontId="7" fillId="10" borderId="26" xfId="0" applyNumberFormat="1" applyFont="1" applyFill="1" applyBorder="1" applyAlignment="1">
      <alignment/>
    </xf>
    <xf numFmtId="9" fontId="7" fillId="10" borderId="46" xfId="0" applyNumberFormat="1" applyFont="1" applyFill="1" applyBorder="1" applyAlignment="1">
      <alignment/>
    </xf>
    <xf numFmtId="9" fontId="7" fillId="10" borderId="36" xfId="0" applyNumberFormat="1" applyFont="1" applyFill="1" applyBorder="1" applyAlignment="1">
      <alignment/>
    </xf>
    <xf numFmtId="200" fontId="7" fillId="7" borderId="37" xfId="0" applyNumberFormat="1" applyFont="1" applyFill="1" applyBorder="1" applyAlignment="1">
      <alignment horizontal="right" vertical="top" wrapText="1"/>
    </xf>
    <xf numFmtId="200" fontId="7" fillId="7" borderId="47" xfId="0" applyNumberFormat="1" applyFont="1" applyFill="1" applyBorder="1" applyAlignment="1">
      <alignment horizontal="right" vertical="top" wrapText="1"/>
    </xf>
    <xf numFmtId="200" fontId="7" fillId="7" borderId="54" xfId="0" applyNumberFormat="1" applyFont="1" applyFill="1" applyBorder="1" applyAlignment="1">
      <alignment horizontal="right" vertical="top" wrapText="1"/>
    </xf>
    <xf numFmtId="3" fontId="7" fillId="5" borderId="5" xfId="21" applyNumberFormat="1" applyFont="1" applyFill="1" applyBorder="1">
      <alignment/>
      <protection/>
    </xf>
    <xf numFmtId="0" fontId="7" fillId="0" borderId="59" xfId="0" applyFont="1" applyFill="1" applyBorder="1" applyAlignment="1">
      <alignment/>
    </xf>
    <xf numFmtId="9" fontId="7" fillId="5" borderId="23" xfId="0" applyNumberFormat="1" applyFont="1" applyFill="1" applyBorder="1" applyAlignment="1">
      <alignment horizontal="center"/>
    </xf>
    <xf numFmtId="9" fontId="7" fillId="5" borderId="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0" fillId="11" borderId="3" xfId="0" applyFill="1" applyBorder="1" applyAlignment="1">
      <alignment/>
    </xf>
    <xf numFmtId="3" fontId="0" fillId="11" borderId="3" xfId="0" applyNumberFormat="1" applyFill="1" applyBorder="1" applyAlignment="1">
      <alignment/>
    </xf>
    <xf numFmtId="0" fontId="7" fillId="16" borderId="24" xfId="21" applyFont="1" applyFill="1" applyBorder="1">
      <alignment/>
      <protection/>
    </xf>
    <xf numFmtId="0" fontId="7" fillId="16" borderId="63" xfId="21" applyFont="1" applyFill="1" applyBorder="1">
      <alignment/>
      <protection/>
    </xf>
    <xf numFmtId="0" fontId="7" fillId="16" borderId="64" xfId="21" applyFont="1" applyFill="1" applyBorder="1" applyAlignment="1">
      <alignment horizontal="right"/>
      <protection/>
    </xf>
    <xf numFmtId="0" fontId="7" fillId="16" borderId="65" xfId="21" applyFont="1" applyFill="1" applyBorder="1" applyAlignment="1">
      <alignment horizontal="center"/>
      <protection/>
    </xf>
    <xf numFmtId="0" fontId="7" fillId="3" borderId="4" xfId="21" applyFont="1" applyFill="1" applyBorder="1">
      <alignment/>
      <protection/>
    </xf>
    <xf numFmtId="3" fontId="7" fillId="3" borderId="5" xfId="21" applyNumberFormat="1" applyFont="1" applyFill="1" applyBorder="1">
      <alignment/>
      <protection/>
    </xf>
    <xf numFmtId="198" fontId="7" fillId="3" borderId="6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10" fontId="7" fillId="5" borderId="8" xfId="21" applyNumberFormat="1" applyFont="1" applyFill="1" applyBorder="1">
      <alignment/>
      <protection/>
    </xf>
    <xf numFmtId="0" fontId="15" fillId="5" borderId="8" xfId="21" applyFont="1" applyFill="1" applyBorder="1">
      <alignment/>
      <protection/>
    </xf>
    <xf numFmtId="0" fontId="7" fillId="14" borderId="8" xfId="21" applyFont="1" applyFill="1" applyBorder="1">
      <alignment/>
      <protection/>
    </xf>
    <xf numFmtId="3" fontId="7" fillId="14" borderId="9" xfId="21" applyNumberFormat="1" applyFont="1" applyFill="1" applyBorder="1">
      <alignment/>
      <protection/>
    </xf>
    <xf numFmtId="198" fontId="7" fillId="14" borderId="10" xfId="21" applyNumberFormat="1" applyFont="1" applyFill="1" applyBorder="1">
      <alignment/>
      <protection/>
    </xf>
    <xf numFmtId="0" fontId="7" fillId="3" borderId="24" xfId="21" applyFont="1" applyFill="1" applyBorder="1">
      <alignment/>
      <protection/>
    </xf>
    <xf numFmtId="3" fontId="7" fillId="3" borderId="60" xfId="21" applyNumberFormat="1" applyFont="1" applyFill="1" applyBorder="1">
      <alignment/>
      <protection/>
    </xf>
    <xf numFmtId="198" fontId="7" fillId="3" borderId="62" xfId="21" applyNumberFormat="1" applyFont="1" applyFill="1" applyBorder="1">
      <alignment/>
      <protection/>
    </xf>
    <xf numFmtId="0" fontId="7" fillId="15" borderId="63" xfId="21" applyFont="1" applyFill="1" applyBorder="1">
      <alignment/>
      <protection/>
    </xf>
    <xf numFmtId="3" fontId="7" fillId="15" borderId="64" xfId="21" applyNumberFormat="1" applyFont="1" applyFill="1" applyBorder="1">
      <alignment/>
      <protection/>
    </xf>
    <xf numFmtId="198" fontId="7" fillId="15" borderId="65" xfId="21" applyNumberFormat="1" applyFont="1" applyFill="1" applyBorder="1">
      <alignment/>
      <protection/>
    </xf>
    <xf numFmtId="3" fontId="7" fillId="2" borderId="9" xfId="21" applyNumberFormat="1" applyFont="1" applyFill="1" applyBorder="1">
      <alignment/>
      <protection/>
    </xf>
    <xf numFmtId="198" fontId="7" fillId="2" borderId="10" xfId="21" applyNumberFormat="1" applyFont="1" applyFill="1" applyBorder="1">
      <alignment/>
      <protection/>
    </xf>
    <xf numFmtId="3" fontId="7" fillId="0" borderId="0" xfId="21" applyNumberFormat="1" applyFont="1" applyAlignment="1">
      <alignment horizontal="center" wrapText="1"/>
      <protection/>
    </xf>
    <xf numFmtId="0" fontId="7" fillId="5" borderId="63" xfId="21" applyFont="1" applyFill="1" applyBorder="1">
      <alignment/>
      <protection/>
    </xf>
    <xf numFmtId="0" fontId="7" fillId="5" borderId="8" xfId="21" applyFont="1" applyFill="1" applyBorder="1">
      <alignment/>
      <protection/>
    </xf>
    <xf numFmtId="0" fontId="15" fillId="5" borderId="10" xfId="21" applyFont="1" applyFill="1" applyBorder="1">
      <alignment/>
      <protection/>
    </xf>
    <xf numFmtId="0" fontId="7" fillId="0" borderId="0" xfId="21" applyFont="1" applyAlignment="1">
      <alignment horizontal="right"/>
      <protection/>
    </xf>
    <xf numFmtId="0" fontId="7" fillId="0" borderId="5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10" fontId="7" fillId="0" borderId="0" xfId="21" applyNumberFormat="1" applyFont="1">
      <alignment/>
      <protection/>
    </xf>
    <xf numFmtId="0" fontId="0" fillId="0" borderId="3" xfId="0" applyFill="1" applyBorder="1" applyAlignment="1">
      <alignment/>
    </xf>
    <xf numFmtId="0" fontId="22" fillId="0" borderId="0" xfId="0" applyFont="1" applyAlignment="1">
      <alignment/>
    </xf>
    <xf numFmtId="213" fontId="7" fillId="2" borderId="21" xfId="0" applyNumberFormat="1" applyFont="1" applyFill="1" applyBorder="1" applyAlignment="1">
      <alignment/>
    </xf>
    <xf numFmtId="213" fontId="7" fillId="2" borderId="3" xfId="0" applyNumberFormat="1" applyFont="1" applyFill="1" applyBorder="1" applyAlignment="1">
      <alignment/>
    </xf>
    <xf numFmtId="213" fontId="7" fillId="2" borderId="27" xfId="0" applyNumberFormat="1" applyFont="1" applyFill="1" applyBorder="1" applyAlignment="1">
      <alignment/>
    </xf>
    <xf numFmtId="213" fontId="7" fillId="6" borderId="21" xfId="0" applyNumberFormat="1" applyFont="1" applyFill="1" applyBorder="1" applyAlignment="1">
      <alignment/>
    </xf>
    <xf numFmtId="213" fontId="7" fillId="6" borderId="3" xfId="0" applyNumberFormat="1" applyFont="1" applyFill="1" applyBorder="1" applyAlignment="1">
      <alignment/>
    </xf>
    <xf numFmtId="213" fontId="7" fillId="6" borderId="27" xfId="0" applyNumberFormat="1" applyFont="1" applyFill="1" applyBorder="1" applyAlignment="1">
      <alignment/>
    </xf>
    <xf numFmtId="213" fontId="7" fillId="2" borderId="30" xfId="0" applyNumberFormat="1" applyFont="1" applyFill="1" applyBorder="1" applyAlignment="1">
      <alignment/>
    </xf>
    <xf numFmtId="213" fontId="7" fillId="2" borderId="31" xfId="0" applyNumberFormat="1" applyFont="1" applyFill="1" applyBorder="1" applyAlignment="1">
      <alignment/>
    </xf>
    <xf numFmtId="213" fontId="7" fillId="2" borderId="32" xfId="0" applyNumberFormat="1" applyFont="1" applyFill="1" applyBorder="1" applyAlignment="1">
      <alignment/>
    </xf>
    <xf numFmtId="0" fontId="7" fillId="5" borderId="8" xfId="21" applyFont="1" applyFill="1" applyBorder="1">
      <alignment/>
      <protection/>
    </xf>
    <xf numFmtId="0" fontId="0" fillId="0" borderId="66" xfId="0" applyFill="1" applyBorder="1" applyAlignment="1">
      <alignment/>
    </xf>
    <xf numFmtId="0" fontId="0" fillId="2" borderId="32" xfId="0" applyFill="1" applyBorder="1" applyAlignment="1">
      <alignment/>
    </xf>
    <xf numFmtId="0" fontId="1" fillId="0" borderId="56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0" fillId="0" borderId="68" xfId="0" applyFill="1" applyBorder="1" applyAlignment="1">
      <alignment/>
    </xf>
    <xf numFmtId="0" fontId="0" fillId="0" borderId="68" xfId="0" applyBorder="1" applyAlignment="1">
      <alignment/>
    </xf>
    <xf numFmtId="0" fontId="0" fillId="3" borderId="23" xfId="0" applyFill="1" applyBorder="1" applyAlignment="1">
      <alignment wrapText="1"/>
    </xf>
    <xf numFmtId="0" fontId="0" fillId="3" borderId="36" xfId="0" applyFill="1" applyBorder="1" applyAlignment="1">
      <alignment/>
    </xf>
    <xf numFmtId="0" fontId="0" fillId="3" borderId="28" xfId="0" applyFill="1" applyBorder="1" applyAlignment="1">
      <alignment/>
    </xf>
    <xf numFmtId="0" fontId="0" fillId="4" borderId="31" xfId="0" applyFill="1" applyBorder="1" applyAlignment="1">
      <alignment wrapText="1"/>
    </xf>
    <xf numFmtId="0" fontId="0" fillId="4" borderId="46" xfId="0" applyFill="1" applyBorder="1" applyAlignment="1">
      <alignment/>
    </xf>
    <xf numFmtId="194" fontId="0" fillId="4" borderId="30" xfId="0" applyNumberFormat="1" applyFill="1" applyBorder="1" applyAlignment="1">
      <alignment/>
    </xf>
    <xf numFmtId="0" fontId="0" fillId="4" borderId="32" xfId="0" applyFill="1" applyBorder="1" applyAlignment="1">
      <alignment/>
    </xf>
    <xf numFmtId="0" fontId="0" fillId="11" borderId="23" xfId="0" applyFill="1" applyBorder="1" applyAlignment="1">
      <alignment wrapText="1"/>
    </xf>
    <xf numFmtId="0" fontId="0" fillId="11" borderId="36" xfId="0" applyFill="1" applyBorder="1" applyAlignment="1">
      <alignment/>
    </xf>
    <xf numFmtId="0" fontId="0" fillId="11" borderId="28" xfId="0" applyFill="1" applyBorder="1" applyAlignment="1">
      <alignment/>
    </xf>
    <xf numFmtId="0" fontId="0" fillId="2" borderId="31" xfId="0" applyFill="1" applyBorder="1" applyAlignment="1">
      <alignment wrapText="1"/>
    </xf>
    <xf numFmtId="0" fontId="0" fillId="2" borderId="46" xfId="0" applyFill="1" applyBorder="1" applyAlignment="1">
      <alignment/>
    </xf>
    <xf numFmtId="9" fontId="0" fillId="3" borderId="22" xfId="0" applyNumberFormat="1" applyFill="1" applyBorder="1" applyAlignment="1">
      <alignment/>
    </xf>
    <xf numFmtId="9" fontId="0" fillId="11" borderId="22" xfId="0" applyNumberFormat="1" applyFill="1" applyBorder="1" applyAlignment="1">
      <alignment/>
    </xf>
    <xf numFmtId="9" fontId="0" fillId="2" borderId="30" xfId="0" applyNumberFormat="1" applyFill="1" applyBorder="1" applyAlignment="1">
      <alignment/>
    </xf>
    <xf numFmtId="0" fontId="16" fillId="0" borderId="0" xfId="0" applyFont="1" applyAlignment="1">
      <alignment/>
    </xf>
    <xf numFmtId="0" fontId="6" fillId="17" borderId="1" xfId="0" applyFont="1" applyFill="1" applyBorder="1" applyAlignment="1">
      <alignment/>
    </xf>
    <xf numFmtId="0" fontId="6" fillId="3" borderId="8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1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209" fontId="0" fillId="0" borderId="3" xfId="0" applyNumberFormat="1" applyBorder="1" applyAlignment="1">
      <alignment/>
    </xf>
    <xf numFmtId="209" fontId="0" fillId="3" borderId="25" xfId="0" applyNumberFormat="1" applyFill="1" applyBorder="1" applyAlignment="1">
      <alignment/>
    </xf>
    <xf numFmtId="209" fontId="6" fillId="3" borderId="25" xfId="0" applyNumberFormat="1" applyFont="1" applyFill="1" applyBorder="1" applyAlignment="1">
      <alignment/>
    </xf>
    <xf numFmtId="0" fontId="7" fillId="17" borderId="21" xfId="0" applyFont="1" applyFill="1" applyBorder="1" applyAlignment="1">
      <alignment/>
    </xf>
    <xf numFmtId="209" fontId="0" fillId="0" borderId="21" xfId="0" applyNumberFormat="1" applyFill="1" applyBorder="1" applyAlignment="1">
      <alignment/>
    </xf>
    <xf numFmtId="209" fontId="6" fillId="3" borderId="29" xfId="0" applyNumberFormat="1" applyFont="1" applyFill="1" applyBorder="1" applyAlignment="1">
      <alignment/>
    </xf>
    <xf numFmtId="209" fontId="16" fillId="17" borderId="23" xfId="0" applyNumberFormat="1" applyFont="1" applyFill="1" applyBorder="1" applyAlignment="1">
      <alignment/>
    </xf>
    <xf numFmtId="209" fontId="16" fillId="17" borderId="28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22" xfId="0" applyBorder="1" applyAlignment="1">
      <alignment/>
    </xf>
    <xf numFmtId="0" fontId="7" fillId="1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57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/>
    </xf>
    <xf numFmtId="209" fontId="0" fillId="3" borderId="29" xfId="0" applyNumberFormat="1" applyFill="1" applyBorder="1" applyAlignment="1">
      <alignment/>
    </xf>
    <xf numFmtId="209" fontId="9" fillId="11" borderId="63" xfId="0" applyNumberFormat="1" applyFont="1" applyFill="1" applyBorder="1" applyAlignment="1">
      <alignment/>
    </xf>
    <xf numFmtId="0" fontId="16" fillId="17" borderId="22" xfId="0" applyFont="1" applyFill="1" applyBorder="1" applyAlignment="1">
      <alignment horizontal="right"/>
    </xf>
    <xf numFmtId="0" fontId="16" fillId="2" borderId="30" xfId="0" applyFont="1" applyFill="1" applyBorder="1" applyAlignment="1">
      <alignment wrapText="1"/>
    </xf>
    <xf numFmtId="209" fontId="16" fillId="2" borderId="31" xfId="0" applyNumberFormat="1" applyFont="1" applyFill="1" applyBorder="1" applyAlignment="1">
      <alignment/>
    </xf>
    <xf numFmtId="209" fontId="16" fillId="2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09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7" fillId="18" borderId="23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21" fillId="5" borderId="31" xfId="0" applyNumberFormat="1" applyFont="1" applyFill="1" applyBorder="1" applyAlignment="1">
      <alignment horizontal="center"/>
    </xf>
    <xf numFmtId="3" fontId="16" fillId="7" borderId="3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7" fillId="17" borderId="5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69" xfId="0" applyBorder="1" applyAlignment="1">
      <alignment/>
    </xf>
    <xf numFmtId="0" fontId="7" fillId="0" borderId="21" xfId="0" applyFont="1" applyBorder="1" applyAlignment="1">
      <alignment/>
    </xf>
    <xf numFmtId="209" fontId="7" fillId="0" borderId="3" xfId="0" applyNumberFormat="1" applyFont="1" applyBorder="1" applyAlignment="1">
      <alignment/>
    </xf>
    <xf numFmtId="209" fontId="7" fillId="0" borderId="27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/>
    </xf>
    <xf numFmtId="0" fontId="27" fillId="0" borderId="66" xfId="0" applyFont="1" applyBorder="1" applyAlignment="1">
      <alignment/>
    </xf>
    <xf numFmtId="209" fontId="27" fillId="0" borderId="56" xfId="0" applyNumberFormat="1" applyFont="1" applyBorder="1" applyAlignment="1">
      <alignment/>
    </xf>
    <xf numFmtId="209" fontId="27" fillId="0" borderId="68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209" fontId="7" fillId="0" borderId="23" xfId="0" applyNumberFormat="1" applyFont="1" applyBorder="1" applyAlignment="1">
      <alignment/>
    </xf>
    <xf numFmtId="209" fontId="7" fillId="0" borderId="28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6" fontId="9" fillId="0" borderId="31" xfId="0" applyNumberFormat="1" applyFont="1" applyBorder="1" applyAlignment="1">
      <alignment/>
    </xf>
    <xf numFmtId="6" fontId="21" fillId="0" borderId="31" xfId="0" applyNumberFormat="1" applyFont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17" borderId="30" xfId="0" applyFont="1" applyFill="1" applyBorder="1" applyAlignment="1">
      <alignment horizontal="center" vertical="center" wrapText="1"/>
    </xf>
    <xf numFmtId="6" fontId="21" fillId="0" borderId="32" xfId="0" applyNumberFormat="1" applyFont="1" applyBorder="1" applyAlignment="1">
      <alignment/>
    </xf>
    <xf numFmtId="194" fontId="0" fillId="4" borderId="30" xfId="0" applyNumberFormat="1" applyFill="1" applyBorder="1" applyAlignment="1">
      <alignment wrapText="1"/>
    </xf>
    <xf numFmtId="4" fontId="6" fillId="4" borderId="51" xfId="0" applyNumberFormat="1" applyFont="1" applyFill="1" applyBorder="1" applyAlignment="1">
      <alignment/>
    </xf>
    <xf numFmtId="211" fontId="6" fillId="4" borderId="61" xfId="0" applyNumberFormat="1" applyFont="1" applyFill="1" applyBorder="1" applyAlignment="1">
      <alignment/>
    </xf>
    <xf numFmtId="211" fontId="6" fillId="4" borderId="64" xfId="0" applyNumberFormat="1" applyFont="1" applyFill="1" applyBorder="1" applyAlignment="1">
      <alignment/>
    </xf>
    <xf numFmtId="211" fontId="6" fillId="4" borderId="51" xfId="0" applyNumberFormat="1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7" fillId="20" borderId="57" xfId="0" applyFont="1" applyFill="1" applyBorder="1" applyAlignment="1">
      <alignment horizontal="center" vertical="center" wrapText="1"/>
    </xf>
    <xf numFmtId="209" fontId="0" fillId="11" borderId="21" xfId="0" applyNumberFormat="1" applyFill="1" applyBorder="1" applyAlignment="1">
      <alignment/>
    </xf>
    <xf numFmtId="209" fontId="0" fillId="11" borderId="3" xfId="0" applyNumberFormat="1" applyFill="1" applyBorder="1" applyAlignment="1">
      <alignment/>
    </xf>
    <xf numFmtId="209" fontId="0" fillId="11" borderId="66" xfId="0" applyNumberFormat="1" applyFill="1" applyBorder="1" applyAlignment="1">
      <alignment/>
    </xf>
    <xf numFmtId="209" fontId="0" fillId="11" borderId="56" xfId="0" applyNumberFormat="1" applyFill="1" applyBorder="1" applyAlignment="1">
      <alignment/>
    </xf>
    <xf numFmtId="0" fontId="7" fillId="20" borderId="23" xfId="0" applyFont="1" applyFill="1" applyBorder="1" applyAlignment="1">
      <alignment horizontal="center" vertical="center" wrapText="1"/>
    </xf>
    <xf numFmtId="0" fontId="7" fillId="20" borderId="70" xfId="0" applyFont="1" applyFill="1" applyBorder="1" applyAlignment="1">
      <alignment horizontal="center" vertical="center" wrapText="1"/>
    </xf>
    <xf numFmtId="210" fontId="7" fillId="0" borderId="3" xfId="0" applyNumberFormat="1" applyFont="1" applyBorder="1" applyAlignment="1">
      <alignment/>
    </xf>
    <xf numFmtId="0" fontId="7" fillId="2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99" fontId="7" fillId="5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9" fontId="7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99" fontId="7" fillId="5" borderId="8" xfId="0" applyNumberFormat="1" applyFont="1" applyFill="1" applyBorder="1" applyAlignment="1">
      <alignment horizontal="center"/>
    </xf>
    <xf numFmtId="0" fontId="6" fillId="15" borderId="2" xfId="0" applyFont="1" applyFill="1" applyBorder="1" applyAlignment="1">
      <alignment/>
    </xf>
    <xf numFmtId="1" fontId="7" fillId="5" borderId="51" xfId="0" applyNumberFormat="1" applyFont="1" applyFill="1" applyBorder="1" applyAlignment="1">
      <alignment horizontal="center" vertical="top" wrapText="1"/>
    </xf>
    <xf numFmtId="1" fontId="7" fillId="5" borderId="52" xfId="0" applyNumberFormat="1" applyFont="1" applyFill="1" applyBorder="1" applyAlignment="1">
      <alignment horizontal="center" vertical="top" wrapText="1"/>
    </xf>
    <xf numFmtId="1" fontId="7" fillId="5" borderId="53" xfId="0" applyNumberFormat="1" applyFont="1" applyFill="1" applyBorder="1" applyAlignment="1">
      <alignment horizontal="center" vertical="top" wrapText="1"/>
    </xf>
    <xf numFmtId="0" fontId="7" fillId="9" borderId="5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9" fontId="7" fillId="9" borderId="37" xfId="0" applyNumberFormat="1" applyFont="1" applyFill="1" applyBorder="1" applyAlignment="1">
      <alignment horizontal="center"/>
    </xf>
    <xf numFmtId="9" fontId="7" fillId="9" borderId="47" xfId="0" applyNumberFormat="1" applyFont="1" applyFill="1" applyBorder="1" applyAlignment="1">
      <alignment horizontal="center"/>
    </xf>
    <xf numFmtId="9" fontId="7" fillId="9" borderId="54" xfId="0" applyNumberFormat="1" applyFont="1" applyFill="1" applyBorder="1" applyAlignment="1">
      <alignment horizontal="center"/>
    </xf>
    <xf numFmtId="194" fontId="7" fillId="9" borderId="35" xfId="0" applyNumberFormat="1" applyFont="1" applyFill="1" applyBorder="1" applyAlignment="1">
      <alignment horizontal="right" vertical="top" wrapText="1"/>
    </xf>
    <xf numFmtId="194" fontId="7" fillId="9" borderId="25" xfId="0" applyNumberFormat="1" applyFont="1" applyFill="1" applyBorder="1" applyAlignment="1">
      <alignment horizontal="right" vertical="top" wrapText="1"/>
    </xf>
    <xf numFmtId="194" fontId="7" fillId="9" borderId="29" xfId="0" applyNumberFormat="1" applyFont="1" applyFill="1" applyBorder="1" applyAlignment="1">
      <alignment horizontal="right" vertical="top" wrapText="1"/>
    </xf>
    <xf numFmtId="0" fontId="7" fillId="7" borderId="37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6" xfId="0" applyFont="1" applyFill="1" applyBorder="1" applyAlignment="1">
      <alignment/>
    </xf>
    <xf numFmtId="194" fontId="7" fillId="8" borderId="28" xfId="0" applyNumberFormat="1" applyFont="1" applyFill="1" applyBorder="1" applyAlignment="1">
      <alignment horizontal="right" vertical="top" wrapText="1"/>
    </xf>
    <xf numFmtId="194" fontId="7" fillId="8" borderId="27" xfId="0" applyNumberFormat="1" applyFont="1" applyFill="1" applyBorder="1" applyAlignment="1">
      <alignment horizontal="right" vertical="top" wrapText="1"/>
    </xf>
    <xf numFmtId="194" fontId="7" fillId="8" borderId="32" xfId="0" applyNumberFormat="1" applyFont="1" applyFill="1" applyBorder="1" applyAlignment="1">
      <alignment horizontal="right" vertical="top" wrapText="1"/>
    </xf>
    <xf numFmtId="0" fontId="7" fillId="0" borderId="71" xfId="0" applyFont="1" applyFill="1" applyBorder="1" applyAlignment="1">
      <alignment/>
    </xf>
    <xf numFmtId="9" fontId="7" fillId="5" borderId="37" xfId="0" applyNumberFormat="1" applyFont="1" applyFill="1" applyBorder="1" applyAlignment="1">
      <alignment horizontal="center"/>
    </xf>
    <xf numFmtId="9" fontId="7" fillId="5" borderId="47" xfId="0" applyNumberFormat="1" applyFont="1" applyFill="1" applyBorder="1" applyAlignment="1">
      <alignment horizontal="center"/>
    </xf>
    <xf numFmtId="9" fontId="7" fillId="5" borderId="54" xfId="0" applyNumberFormat="1" applyFont="1" applyFill="1" applyBorder="1" applyAlignment="1">
      <alignment horizontal="center"/>
    </xf>
    <xf numFmtId="9" fontId="7" fillId="5" borderId="7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/>
    </xf>
    <xf numFmtId="0" fontId="7" fillId="11" borderId="6" xfId="0" applyFont="1" applyFill="1" applyBorder="1" applyAlignment="1">
      <alignment/>
    </xf>
    <xf numFmtId="200" fontId="7" fillId="11" borderId="22" xfId="0" applyNumberFormat="1" applyFont="1" applyFill="1" applyBorder="1" applyAlignment="1">
      <alignment/>
    </xf>
    <xf numFmtId="200" fontId="7" fillId="11" borderId="28" xfId="0" applyNumberFormat="1" applyFont="1" applyFill="1" applyBorder="1" applyAlignment="1">
      <alignment/>
    </xf>
    <xf numFmtId="200" fontId="7" fillId="11" borderId="21" xfId="0" applyNumberFormat="1" applyFont="1" applyFill="1" applyBorder="1" applyAlignment="1">
      <alignment/>
    </xf>
    <xf numFmtId="200" fontId="7" fillId="11" borderId="27" xfId="0" applyNumberFormat="1" applyFont="1" applyFill="1" applyBorder="1" applyAlignment="1">
      <alignment/>
    </xf>
    <xf numFmtId="200" fontId="7" fillId="11" borderId="30" xfId="0" applyNumberFormat="1" applyFont="1" applyFill="1" applyBorder="1" applyAlignment="1">
      <alignment/>
    </xf>
    <xf numFmtId="200" fontId="7" fillId="11" borderId="32" xfId="0" applyNumberFormat="1" applyFont="1" applyFill="1" applyBorder="1" applyAlignment="1">
      <alignment/>
    </xf>
    <xf numFmtId="0" fontId="7" fillId="7" borderId="23" xfId="0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 wrapText="1"/>
    </xf>
    <xf numFmtId="0" fontId="7" fillId="7" borderId="62" xfId="0" applyFont="1" applyFill="1" applyBorder="1" applyAlignment="1">
      <alignment horizontal="center" vertical="top" wrapText="1"/>
    </xf>
    <xf numFmtId="0" fontId="7" fillId="5" borderId="43" xfId="0" applyFont="1" applyFill="1" applyBorder="1" applyAlignment="1">
      <alignment horizontal="center" vertical="top" wrapText="1"/>
    </xf>
    <xf numFmtId="0" fontId="7" fillId="11" borderId="37" xfId="0" applyFont="1" applyFill="1" applyBorder="1" applyAlignment="1">
      <alignment horizontal="center" vertical="top" wrapText="1"/>
    </xf>
    <xf numFmtId="0" fontId="7" fillId="11" borderId="23" xfId="0" applyFont="1" applyFill="1" applyBorder="1" applyAlignment="1">
      <alignment horizontal="center" vertical="top" wrapText="1"/>
    </xf>
    <xf numFmtId="0" fontId="7" fillId="11" borderId="36" xfId="0" applyFont="1" applyFill="1" applyBorder="1" applyAlignment="1">
      <alignment horizontal="center" vertical="top" wrapText="1"/>
    </xf>
    <xf numFmtId="0" fontId="7" fillId="11" borderId="22" xfId="0" applyFont="1" applyFill="1" applyBorder="1" applyAlignment="1">
      <alignment horizontal="center" vertical="top" wrapText="1"/>
    </xf>
    <xf numFmtId="0" fontId="7" fillId="11" borderId="28" xfId="0" applyFont="1" applyFill="1" applyBorder="1" applyAlignment="1">
      <alignment horizontal="center" vertical="top" wrapText="1"/>
    </xf>
    <xf numFmtId="2" fontId="7" fillId="5" borderId="20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2" fontId="7" fillId="5" borderId="57" xfId="0" applyNumberFormat="1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6" fillId="0" borderId="24" xfId="21" applyFont="1" applyFill="1" applyBorder="1">
      <alignment/>
      <protection/>
    </xf>
    <xf numFmtId="0" fontId="7" fillId="0" borderId="63" xfId="21" applyFont="1" applyFill="1" applyBorder="1">
      <alignment/>
      <protection/>
    </xf>
    <xf numFmtId="0" fontId="7" fillId="0" borderId="64" xfId="21" applyFont="1" applyFill="1" applyBorder="1" applyAlignment="1">
      <alignment horizontal="right"/>
      <protection/>
    </xf>
    <xf numFmtId="0" fontId="7" fillId="0" borderId="65" xfId="21" applyFont="1" applyFill="1" applyBorder="1" applyAlignment="1">
      <alignment horizontal="center"/>
      <protection/>
    </xf>
    <xf numFmtId="0" fontId="7" fillId="11" borderId="4" xfId="21" applyFont="1" applyFill="1" applyBorder="1">
      <alignment/>
      <protection/>
    </xf>
    <xf numFmtId="3" fontId="7" fillId="11" borderId="5" xfId="21" applyNumberFormat="1" applyFont="1" applyFill="1" applyBorder="1">
      <alignment/>
      <protection/>
    </xf>
    <xf numFmtId="198" fontId="7" fillId="11" borderId="6" xfId="21" applyNumberFormat="1" applyFont="1" applyFill="1" applyBorder="1">
      <alignment/>
      <protection/>
    </xf>
    <xf numFmtId="0" fontId="13" fillId="10" borderId="4" xfId="21" applyFont="1" applyFill="1" applyBorder="1">
      <alignment/>
      <protection/>
    </xf>
    <xf numFmtId="0" fontId="13" fillId="15" borderId="4" xfId="21" applyFont="1" applyFill="1" applyBorder="1">
      <alignment/>
      <protection/>
    </xf>
    <xf numFmtId="0" fontId="13" fillId="18" borderId="5" xfId="21" applyFont="1" applyFill="1" applyBorder="1">
      <alignment/>
      <protection/>
    </xf>
    <xf numFmtId="198" fontId="7" fillId="9" borderId="6" xfId="21" applyNumberFormat="1" applyFont="1" applyFill="1" applyBorder="1">
      <alignment/>
      <protection/>
    </xf>
    <xf numFmtId="3" fontId="7" fillId="9" borderId="5" xfId="21" applyNumberFormat="1" applyFont="1" applyFill="1" applyBorder="1">
      <alignment/>
      <protection/>
    </xf>
    <xf numFmtId="0" fontId="7" fillId="9" borderId="5" xfId="21" applyFont="1" applyFill="1" applyBorder="1">
      <alignment/>
      <protection/>
    </xf>
    <xf numFmtId="3" fontId="7" fillId="9" borderId="0" xfId="21" applyNumberFormat="1" applyFont="1" applyFill="1">
      <alignment/>
      <protection/>
    </xf>
    <xf numFmtId="0" fontId="13" fillId="21" borderId="5" xfId="21" applyFont="1" applyFill="1" applyBorder="1">
      <alignment/>
      <protection/>
    </xf>
    <xf numFmtId="198" fontId="7" fillId="22" borderId="6" xfId="21" applyNumberFormat="1" applyFont="1" applyFill="1" applyBorder="1">
      <alignment/>
      <protection/>
    </xf>
    <xf numFmtId="198" fontId="7" fillId="22" borderId="65" xfId="21" applyNumberFormat="1" applyFont="1" applyFill="1" applyBorder="1">
      <alignment/>
      <protection/>
    </xf>
    <xf numFmtId="3" fontId="7" fillId="22" borderId="5" xfId="21" applyNumberFormat="1" applyFont="1" applyFill="1" applyBorder="1">
      <alignment/>
      <protection/>
    </xf>
    <xf numFmtId="3" fontId="7" fillId="22" borderId="64" xfId="21" applyNumberFormat="1" applyFont="1" applyFill="1" applyBorder="1">
      <alignment/>
      <protection/>
    </xf>
    <xf numFmtId="3" fontId="7" fillId="22" borderId="0" xfId="21" applyNumberFormat="1" applyFont="1" applyFill="1">
      <alignment/>
      <protection/>
    </xf>
    <xf numFmtId="0" fontId="7" fillId="22" borderId="5" xfId="21" applyFont="1" applyFill="1" applyBorder="1">
      <alignment/>
      <protection/>
    </xf>
    <xf numFmtId="0" fontId="7" fillId="9" borderId="0" xfId="21" applyFont="1" applyFill="1">
      <alignment/>
      <protection/>
    </xf>
    <xf numFmtId="0" fontId="7" fillId="22" borderId="0" xfId="21" applyFont="1" applyFill="1">
      <alignment/>
      <protection/>
    </xf>
    <xf numFmtId="0" fontId="7" fillId="2" borderId="3" xfId="21" applyFont="1" applyFill="1" applyBorder="1">
      <alignment/>
      <protection/>
    </xf>
    <xf numFmtId="3" fontId="0" fillId="2" borderId="3" xfId="0" applyNumberFormat="1" applyFill="1" applyBorder="1" applyAlignment="1">
      <alignment/>
    </xf>
    <xf numFmtId="49" fontId="0" fillId="4" borderId="3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0" fillId="19" borderId="3" xfId="0" applyFill="1" applyBorder="1" applyAlignment="1">
      <alignment/>
    </xf>
    <xf numFmtId="3" fontId="0" fillId="19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3" fontId="0" fillId="10" borderId="3" xfId="0" applyNumberFormat="1" applyFill="1" applyBorder="1" applyAlignment="1">
      <alignment/>
    </xf>
    <xf numFmtId="0" fontId="27" fillId="6" borderId="1" xfId="0" applyFont="1" applyFill="1" applyBorder="1" applyAlignment="1">
      <alignment/>
    </xf>
    <xf numFmtId="211" fontId="7" fillId="5" borderId="23" xfId="18" applyNumberFormat="1" applyFont="1" applyFill="1" applyBorder="1" applyAlignment="1">
      <alignment/>
    </xf>
    <xf numFmtId="211" fontId="7" fillId="5" borderId="23" xfId="0" applyNumberFormat="1" applyFont="1" applyFill="1" applyBorder="1" applyAlignment="1">
      <alignment/>
    </xf>
    <xf numFmtId="211" fontId="7" fillId="5" borderId="36" xfId="0" applyNumberFormat="1" applyFont="1" applyFill="1" applyBorder="1" applyAlignment="1">
      <alignment/>
    </xf>
    <xf numFmtId="211" fontId="7" fillId="5" borderId="26" xfId="0" applyNumberFormat="1" applyFont="1" applyFill="1" applyBorder="1" applyAlignment="1">
      <alignment/>
    </xf>
    <xf numFmtId="211" fontId="0" fillId="5" borderId="3" xfId="0" applyNumberFormat="1" applyFill="1" applyBorder="1" applyAlignment="1">
      <alignment/>
    </xf>
    <xf numFmtId="211" fontId="0" fillId="5" borderId="31" xfId="0" applyNumberFormat="1" applyFill="1" applyBorder="1" applyAlignment="1">
      <alignment/>
    </xf>
    <xf numFmtId="211" fontId="7" fillId="5" borderId="31" xfId="0" applyNumberFormat="1" applyFont="1" applyFill="1" applyBorder="1" applyAlignment="1">
      <alignment/>
    </xf>
    <xf numFmtId="211" fontId="7" fillId="5" borderId="46" xfId="0" applyNumberFormat="1" applyFont="1" applyFill="1" applyBorder="1" applyAlignment="1">
      <alignment/>
    </xf>
    <xf numFmtId="211" fontId="0" fillId="5" borderId="23" xfId="0" applyNumberFormat="1" applyFill="1" applyBorder="1" applyAlignment="1">
      <alignment/>
    </xf>
    <xf numFmtId="211" fontId="27" fillId="6" borderId="57" xfId="0" applyNumberFormat="1" applyFont="1" applyFill="1" applyBorder="1" applyAlignment="1">
      <alignment/>
    </xf>
    <xf numFmtId="211" fontId="27" fillId="6" borderId="73" xfId="0" applyNumberFormat="1" applyFont="1" applyFill="1" applyBorder="1" applyAlignment="1">
      <alignment/>
    </xf>
    <xf numFmtId="0" fontId="7" fillId="23" borderId="22" xfId="0" applyFont="1" applyFill="1" applyBorder="1" applyAlignment="1">
      <alignment/>
    </xf>
    <xf numFmtId="49" fontId="7" fillId="23" borderId="21" xfId="0" applyNumberFormat="1" applyFont="1" applyFill="1" applyBorder="1" applyAlignment="1">
      <alignment/>
    </xf>
    <xf numFmtId="49" fontId="7" fillId="23" borderId="30" xfId="0" applyNumberFormat="1" applyFont="1" applyFill="1" applyBorder="1" applyAlignment="1">
      <alignment/>
    </xf>
    <xf numFmtId="0" fontId="15" fillId="5" borderId="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vertical="top" wrapText="1"/>
    </xf>
    <xf numFmtId="0" fontId="6" fillId="6" borderId="56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211" fontId="7" fillId="5" borderId="22" xfId="22" applyNumberFormat="1" applyFont="1" applyFill="1" applyBorder="1">
      <alignment horizontal="right"/>
    </xf>
    <xf numFmtId="211" fontId="7" fillId="5" borderId="23" xfId="22" applyNumberFormat="1" applyFont="1" applyFill="1" applyBorder="1">
      <alignment horizontal="right"/>
    </xf>
    <xf numFmtId="211" fontId="7" fillId="5" borderId="28" xfId="22" applyNumberFormat="1" applyFont="1" applyFill="1" applyBorder="1">
      <alignment horizontal="right"/>
    </xf>
    <xf numFmtId="211" fontId="7" fillId="5" borderId="21" xfId="22" applyNumberFormat="1" applyFont="1" applyFill="1" applyBorder="1">
      <alignment horizontal="right"/>
    </xf>
    <xf numFmtId="211" fontId="7" fillId="5" borderId="27" xfId="22" applyNumberFormat="1" applyFont="1" applyFill="1" applyBorder="1">
      <alignment horizontal="right"/>
    </xf>
    <xf numFmtId="211" fontId="7" fillId="5" borderId="30" xfId="22" applyNumberFormat="1" applyFont="1" applyFill="1" applyBorder="1">
      <alignment horizontal="right"/>
    </xf>
    <xf numFmtId="211" fontId="7" fillId="5" borderId="31" xfId="22" applyNumberFormat="1" applyFont="1" applyFill="1" applyBorder="1">
      <alignment horizontal="right"/>
    </xf>
    <xf numFmtId="211" fontId="7" fillId="5" borderId="32" xfId="22" applyNumberFormat="1" applyFont="1" applyFill="1" applyBorder="1">
      <alignment horizontal="right"/>
    </xf>
    <xf numFmtId="0" fontId="7" fillId="6" borderId="26" xfId="0" applyFont="1" applyFill="1" applyBorder="1" applyAlignment="1">
      <alignment vertical="top" wrapText="1"/>
    </xf>
    <xf numFmtId="0" fontId="7" fillId="2" borderId="71" xfId="0" applyFont="1" applyFill="1" applyBorder="1" applyAlignment="1">
      <alignment horizontal="center" vertical="top" wrapText="1"/>
    </xf>
    <xf numFmtId="0" fontId="7" fillId="5" borderId="58" xfId="0" applyFont="1" applyFill="1" applyBorder="1" applyAlignment="1">
      <alignment horizontal="center" vertical="top" wrapText="1"/>
    </xf>
    <xf numFmtId="0" fontId="7" fillId="2" borderId="58" xfId="0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center" vertical="top" wrapText="1"/>
    </xf>
    <xf numFmtId="0" fontId="7" fillId="2" borderId="74" xfId="0" applyFont="1" applyFill="1" applyBorder="1" applyAlignment="1">
      <alignment horizontal="center" vertical="top" wrapText="1"/>
    </xf>
    <xf numFmtId="0" fontId="7" fillId="2" borderId="71" xfId="0" applyFont="1" applyFill="1" applyBorder="1" applyAlignment="1">
      <alignment vertical="top" wrapText="1"/>
    </xf>
    <xf numFmtId="211" fontId="7" fillId="2" borderId="59" xfId="22" applyNumberFormat="1" applyFont="1" applyFill="1" applyBorder="1">
      <alignment horizontal="right"/>
    </xf>
    <xf numFmtId="0" fontId="7" fillId="2" borderId="2" xfId="0" applyFont="1" applyFill="1" applyBorder="1" applyAlignment="1">
      <alignment/>
    </xf>
    <xf numFmtId="0" fontId="7" fillId="5" borderId="22" xfId="0" applyFont="1" applyFill="1" applyBorder="1" applyAlignment="1">
      <alignment vertical="top" wrapText="1"/>
    </xf>
    <xf numFmtId="0" fontId="7" fillId="5" borderId="38" xfId="0" applyFont="1" applyFill="1" applyBorder="1" applyAlignment="1">
      <alignment vertical="top" wrapText="1"/>
    </xf>
    <xf numFmtId="0" fontId="7" fillId="5" borderId="21" xfId="0" applyFont="1" applyFill="1" applyBorder="1" applyAlignment="1">
      <alignment vertical="top" wrapText="1"/>
    </xf>
    <xf numFmtId="0" fontId="7" fillId="5" borderId="75" xfId="0" applyFont="1" applyFill="1" applyBorder="1" applyAlignment="1">
      <alignment vertical="top" wrapText="1"/>
    </xf>
    <xf numFmtId="0" fontId="7" fillId="5" borderId="21" xfId="0" applyFont="1" applyFill="1" applyBorder="1" applyAlignment="1">
      <alignment/>
    </xf>
    <xf numFmtId="0" fontId="7" fillId="5" borderId="30" xfId="0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6" fillId="6" borderId="57" xfId="0" applyFont="1" applyFill="1" applyBorder="1" applyAlignment="1">
      <alignment wrapText="1"/>
    </xf>
    <xf numFmtId="209" fontId="0" fillId="2" borderId="3" xfId="0" applyNumberFormat="1" applyFill="1" applyBorder="1" applyAlignment="1">
      <alignment/>
    </xf>
    <xf numFmtId="209" fontId="0" fillId="2" borderId="26" xfId="0" applyNumberFormat="1" applyFill="1" applyBorder="1" applyAlignment="1">
      <alignment/>
    </xf>
    <xf numFmtId="0" fontId="6" fillId="6" borderId="57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1" xfId="0" applyFill="1" applyBorder="1" applyAlignment="1">
      <alignment/>
    </xf>
    <xf numFmtId="0" fontId="3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6" fontId="9" fillId="0" borderId="3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30" xfId="0" applyFont="1" applyFill="1" applyBorder="1" applyAlignment="1">
      <alignment wrapText="1"/>
    </xf>
    <xf numFmtId="176" fontId="7" fillId="3" borderId="59" xfId="22" applyFont="1" applyFill="1" applyBorder="1">
      <alignment horizontal="right"/>
    </xf>
    <xf numFmtId="176" fontId="7" fillId="2" borderId="2" xfId="22" applyFont="1" applyFill="1" applyBorder="1">
      <alignment horizontal="right"/>
    </xf>
    <xf numFmtId="0" fontId="7" fillId="15" borderId="59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211" fontId="7" fillId="5" borderId="1" xfId="0" applyNumberFormat="1" applyFont="1" applyFill="1" applyBorder="1" applyAlignment="1">
      <alignment/>
    </xf>
    <xf numFmtId="211" fontId="7" fillId="5" borderId="57" xfId="0" applyNumberFormat="1" applyFont="1" applyFill="1" applyBorder="1" applyAlignment="1">
      <alignment/>
    </xf>
    <xf numFmtId="211" fontId="7" fillId="5" borderId="70" xfId="0" applyNumberFormat="1" applyFont="1" applyFill="1" applyBorder="1" applyAlignment="1">
      <alignment/>
    </xf>
    <xf numFmtId="0" fontId="6" fillId="2" borderId="15" xfId="21" applyFont="1" applyFill="1" applyBorder="1">
      <alignment/>
      <protection/>
    </xf>
    <xf numFmtId="3" fontId="6" fillId="2" borderId="76" xfId="21" applyNumberFormat="1" applyFont="1" applyFill="1" applyBorder="1">
      <alignment/>
      <protection/>
    </xf>
    <xf numFmtId="3" fontId="6" fillId="2" borderId="17" xfId="21" applyNumberFormat="1" applyFont="1" applyFill="1" applyBorder="1">
      <alignment/>
      <protection/>
    </xf>
    <xf numFmtId="198" fontId="7" fillId="2" borderId="17" xfId="21" applyNumberFormat="1" applyFont="1" applyFill="1" applyBorder="1">
      <alignment/>
      <protection/>
    </xf>
    <xf numFmtId="3" fontId="7" fillId="3" borderId="77" xfId="21" applyNumberFormat="1" applyFont="1" applyFill="1" applyBorder="1">
      <alignment/>
      <protection/>
    </xf>
    <xf numFmtId="3" fontId="7" fillId="3" borderId="0" xfId="21" applyNumberFormat="1" applyFont="1" applyFill="1" applyBorder="1">
      <alignment/>
      <protection/>
    </xf>
    <xf numFmtId="3" fontId="7" fillId="15" borderId="19" xfId="21" applyNumberFormat="1" applyFont="1" applyFill="1" applyBorder="1">
      <alignment/>
      <protection/>
    </xf>
    <xf numFmtId="0" fontId="8" fillId="0" borderId="0" xfId="21" applyFont="1">
      <alignment/>
      <protection/>
    </xf>
    <xf numFmtId="211" fontId="0" fillId="5" borderId="28" xfId="0" applyNumberFormat="1" applyFill="1" applyBorder="1" applyAlignment="1">
      <alignment/>
    </xf>
    <xf numFmtId="211" fontId="0" fillId="5" borderId="27" xfId="0" applyNumberFormat="1" applyFill="1" applyBorder="1" applyAlignment="1">
      <alignment/>
    </xf>
    <xf numFmtId="211" fontId="0" fillId="5" borderId="32" xfId="0" applyNumberFormat="1" applyFill="1" applyBorder="1" applyAlignment="1">
      <alignment/>
    </xf>
    <xf numFmtId="211" fontId="0" fillId="5" borderId="22" xfId="0" applyNumberFormat="1" applyFill="1" applyBorder="1" applyAlignment="1">
      <alignment/>
    </xf>
    <xf numFmtId="211" fontId="0" fillId="5" borderId="21" xfId="0" applyNumberFormat="1" applyFill="1" applyBorder="1" applyAlignment="1">
      <alignment/>
    </xf>
    <xf numFmtId="211" fontId="0" fillId="5" borderId="30" xfId="0" applyNumberFormat="1" applyFill="1" applyBorder="1" applyAlignment="1">
      <alignment/>
    </xf>
    <xf numFmtId="199" fontId="0" fillId="5" borderId="8" xfId="0" applyNumberFormat="1" applyFill="1" applyBorder="1" applyAlignment="1">
      <alignment/>
    </xf>
    <xf numFmtId="199" fontId="0" fillId="5" borderId="63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4" xfId="0" applyFill="1" applyBorder="1" applyAlignment="1">
      <alignment/>
    </xf>
    <xf numFmtId="211" fontId="0" fillId="5" borderId="35" xfId="0" applyNumberFormat="1" applyFill="1" applyBorder="1" applyAlignment="1">
      <alignment/>
    </xf>
    <xf numFmtId="211" fontId="0" fillId="5" borderId="25" xfId="0" applyNumberFormat="1" applyFill="1" applyBorder="1" applyAlignment="1">
      <alignment/>
    </xf>
    <xf numFmtId="211" fontId="0" fillId="5" borderId="29" xfId="0" applyNumberFormat="1" applyFill="1" applyBorder="1" applyAlignment="1">
      <alignment/>
    </xf>
    <xf numFmtId="211" fontId="0" fillId="2" borderId="63" xfId="0" applyNumberForma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Alignment="1">
      <alignment/>
    </xf>
    <xf numFmtId="0" fontId="7" fillId="5" borderId="51" xfId="0" applyFont="1" applyFill="1" applyBorder="1" applyAlignment="1">
      <alignment vertical="top" wrapText="1"/>
    </xf>
    <xf numFmtId="0" fontId="7" fillId="5" borderId="52" xfId="0" applyFont="1" applyFill="1" applyBorder="1" applyAlignment="1">
      <alignment vertical="top" wrapText="1"/>
    </xf>
    <xf numFmtId="0" fontId="7" fillId="5" borderId="52" xfId="0" applyFont="1" applyFill="1" applyBorder="1" applyAlignment="1">
      <alignment/>
    </xf>
    <xf numFmtId="0" fontId="0" fillId="5" borderId="53" xfId="0" applyFill="1" applyBorder="1" applyAlignment="1">
      <alignment/>
    </xf>
    <xf numFmtId="211" fontId="0" fillId="3" borderId="63" xfId="0" applyNumberForma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11" borderId="57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wrapText="1"/>
    </xf>
    <xf numFmtId="0" fontId="7" fillId="11" borderId="73" xfId="0" applyFont="1" applyFill="1" applyBorder="1" applyAlignment="1">
      <alignment wrapText="1"/>
    </xf>
    <xf numFmtId="211" fontId="0" fillId="24" borderId="64" xfId="0" applyNumberFormat="1" applyFill="1" applyBorder="1" applyAlignment="1">
      <alignment/>
    </xf>
    <xf numFmtId="211" fontId="0" fillId="24" borderId="19" xfId="0" applyNumberFormat="1" applyFill="1" applyBorder="1" applyAlignment="1">
      <alignment/>
    </xf>
    <xf numFmtId="211" fontId="0" fillId="24" borderId="65" xfId="0" applyNumberFormat="1" applyFill="1" applyBorder="1" applyAlignment="1">
      <alignment/>
    </xf>
    <xf numFmtId="0" fontId="0" fillId="3" borderId="60" xfId="0" applyFill="1" applyBorder="1" applyAlignment="1">
      <alignment wrapText="1"/>
    </xf>
    <xf numFmtId="211" fontId="0" fillId="5" borderId="38" xfId="0" applyNumberFormat="1" applyFill="1" applyBorder="1" applyAlignment="1">
      <alignment/>
    </xf>
    <xf numFmtId="211" fontId="0" fillId="5" borderId="2" xfId="0" applyNumberFormat="1" applyFill="1" applyBorder="1" applyAlignment="1">
      <alignment/>
    </xf>
    <xf numFmtId="211" fontId="0" fillId="5" borderId="69" xfId="0" applyNumberFormat="1" applyFill="1" applyBorder="1" applyAlignment="1">
      <alignment/>
    </xf>
    <xf numFmtId="0" fontId="0" fillId="24" borderId="1" xfId="0" applyFill="1" applyBorder="1" applyAlignment="1">
      <alignment wrapText="1"/>
    </xf>
    <xf numFmtId="0" fontId="0" fillId="24" borderId="57" xfId="0" applyFill="1" applyBorder="1" applyAlignment="1">
      <alignment wrapText="1"/>
    </xf>
    <xf numFmtId="0" fontId="0" fillId="24" borderId="70" xfId="0" applyFill="1" applyBorder="1" applyAlignment="1">
      <alignment wrapText="1"/>
    </xf>
    <xf numFmtId="0" fontId="0" fillId="23" borderId="78" xfId="0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4" xfId="0" applyFill="1" applyBorder="1" applyAlignment="1">
      <alignment/>
    </xf>
    <xf numFmtId="211" fontId="0" fillId="23" borderId="64" xfId="0" applyNumberFormat="1" applyFill="1" applyBorder="1" applyAlignment="1">
      <alignment/>
    </xf>
    <xf numFmtId="211" fontId="0" fillId="23" borderId="19" xfId="0" applyNumberFormat="1" applyFill="1" applyBorder="1" applyAlignment="1">
      <alignment/>
    </xf>
    <xf numFmtId="211" fontId="0" fillId="23" borderId="65" xfId="0" applyNumberFormat="1" applyFill="1" applyBorder="1" applyAlignment="1">
      <alignment/>
    </xf>
    <xf numFmtId="211" fontId="7" fillId="3" borderId="56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211" fontId="7" fillId="5" borderId="79" xfId="0" applyNumberFormat="1" applyFont="1" applyFill="1" applyBorder="1" applyAlignment="1">
      <alignment/>
    </xf>
    <xf numFmtId="211" fontId="7" fillId="5" borderId="80" xfId="0" applyNumberFormat="1" applyFont="1" applyFill="1" applyBorder="1" applyAlignment="1">
      <alignment/>
    </xf>
    <xf numFmtId="211" fontId="7" fillId="5" borderId="81" xfId="0" applyNumberFormat="1" applyFont="1" applyFill="1" applyBorder="1" applyAlignment="1">
      <alignment/>
    </xf>
    <xf numFmtId="0" fontId="7" fillId="10" borderId="0" xfId="21" applyFont="1" applyFill="1">
      <alignment/>
      <protection/>
    </xf>
    <xf numFmtId="3" fontId="32" fillId="18" borderId="60" xfId="21" applyNumberFormat="1" applyFont="1" applyFill="1" applyBorder="1">
      <alignment/>
      <protection/>
    </xf>
    <xf numFmtId="198" fontId="6" fillId="18" borderId="62" xfId="21" applyNumberFormat="1" applyFont="1" applyFill="1" applyBorder="1">
      <alignment/>
      <protection/>
    </xf>
    <xf numFmtId="3" fontId="32" fillId="18" borderId="5" xfId="21" applyNumberFormat="1" applyFont="1" applyFill="1" applyBorder="1">
      <alignment/>
      <protection/>
    </xf>
    <xf numFmtId="198" fontId="6" fillId="18" borderId="6" xfId="21" applyNumberFormat="1" applyFont="1" applyFill="1" applyBorder="1">
      <alignment/>
      <protection/>
    </xf>
    <xf numFmtId="3" fontId="32" fillId="21" borderId="5" xfId="21" applyNumberFormat="1" applyFont="1" applyFill="1" applyBorder="1">
      <alignment/>
      <protection/>
    </xf>
    <xf numFmtId="198" fontId="6" fillId="21" borderId="6" xfId="21" applyNumberFormat="1" applyFont="1" applyFill="1" applyBorder="1">
      <alignment/>
      <protection/>
    </xf>
    <xf numFmtId="3" fontId="32" fillId="10" borderId="5" xfId="21" applyNumberFormat="1" applyFont="1" applyFill="1" applyBorder="1">
      <alignment/>
      <protection/>
    </xf>
    <xf numFmtId="198" fontId="6" fillId="10" borderId="6" xfId="21" applyNumberFormat="1" applyFont="1" applyFill="1" applyBorder="1">
      <alignment/>
      <protection/>
    </xf>
    <xf numFmtId="3" fontId="32" fillId="15" borderId="5" xfId="21" applyNumberFormat="1" applyFont="1" applyFill="1" applyBorder="1">
      <alignment/>
      <protection/>
    </xf>
    <xf numFmtId="198" fontId="6" fillId="15" borderId="6" xfId="21" applyNumberFormat="1" applyFont="1" applyFill="1" applyBorder="1">
      <alignment/>
      <protection/>
    </xf>
    <xf numFmtId="0" fontId="7" fillId="0" borderId="59" xfId="0" applyFont="1" applyBorder="1" applyAlignment="1">
      <alignment/>
    </xf>
    <xf numFmtId="213" fontId="7" fillId="0" borderId="0" xfId="0" applyNumberFormat="1" applyFont="1" applyAlignment="1">
      <alignment/>
    </xf>
    <xf numFmtId="0" fontId="7" fillId="15" borderId="1" xfId="0" applyFont="1" applyFill="1" applyBorder="1" applyAlignment="1">
      <alignment/>
    </xf>
    <xf numFmtId="0" fontId="7" fillId="15" borderId="70" xfId="0" applyFont="1" applyFill="1" applyBorder="1" applyAlignment="1">
      <alignment wrapText="1"/>
    </xf>
    <xf numFmtId="211" fontId="7" fillId="15" borderId="27" xfId="0" applyNumberFormat="1" applyFont="1" applyFill="1" applyBorder="1" applyAlignment="1">
      <alignment/>
    </xf>
    <xf numFmtId="0" fontId="7" fillId="11" borderId="60" xfId="0" applyFont="1" applyFill="1" applyBorder="1" applyAlignment="1">
      <alignment wrapText="1"/>
    </xf>
    <xf numFmtId="0" fontId="7" fillId="23" borderId="60" xfId="0" applyFont="1" applyFill="1" applyBorder="1" applyAlignment="1">
      <alignment wrapText="1"/>
    </xf>
    <xf numFmtId="211" fontId="16" fillId="6" borderId="63" xfId="0" applyNumberFormat="1" applyFont="1" applyFill="1" applyBorder="1" applyAlignment="1">
      <alignment/>
    </xf>
    <xf numFmtId="211" fontId="16" fillId="2" borderId="22" xfId="0" applyNumberFormat="1" applyFont="1" applyFill="1" applyBorder="1" applyAlignment="1">
      <alignment/>
    </xf>
    <xf numFmtId="211" fontId="0" fillId="23" borderId="28" xfId="0" applyNumberFormat="1" applyFill="1" applyBorder="1" applyAlignment="1">
      <alignment/>
    </xf>
    <xf numFmtId="211" fontId="16" fillId="2" borderId="21" xfId="0" applyNumberFormat="1" applyFont="1" applyFill="1" applyBorder="1" applyAlignment="1">
      <alignment/>
    </xf>
    <xf numFmtId="211" fontId="0" fillId="23" borderId="27" xfId="0" applyNumberFormat="1" applyFill="1" applyBorder="1" applyAlignment="1">
      <alignment/>
    </xf>
    <xf numFmtId="211" fontId="16" fillId="2" borderId="30" xfId="0" applyNumberFormat="1" applyFont="1" applyFill="1" applyBorder="1" applyAlignment="1">
      <alignment/>
    </xf>
    <xf numFmtId="211" fontId="7" fillId="15" borderId="28" xfId="0" applyNumberFormat="1" applyFont="1" applyFill="1" applyBorder="1" applyAlignment="1">
      <alignment/>
    </xf>
    <xf numFmtId="211" fontId="0" fillId="23" borderId="32" xfId="0" applyNumberFormat="1" applyFill="1" applyBorder="1" applyAlignment="1">
      <alignment/>
    </xf>
    <xf numFmtId="211" fontId="7" fillId="15" borderId="32" xfId="0" applyNumberFormat="1" applyFont="1" applyFill="1" applyBorder="1" applyAlignment="1">
      <alignment/>
    </xf>
    <xf numFmtId="0" fontId="7" fillId="25" borderId="8" xfId="0" applyFont="1" applyFill="1" applyBorder="1" applyAlignment="1">
      <alignment wrapText="1"/>
    </xf>
    <xf numFmtId="211" fontId="7" fillId="23" borderId="28" xfId="0" applyNumberFormat="1" applyFont="1" applyFill="1" applyBorder="1" applyAlignment="1">
      <alignment/>
    </xf>
    <xf numFmtId="211" fontId="7" fillId="23" borderId="27" xfId="0" applyNumberFormat="1" applyFont="1" applyFill="1" applyBorder="1" applyAlignment="1">
      <alignment/>
    </xf>
    <xf numFmtId="211" fontId="7" fillId="23" borderId="32" xfId="0" applyNumberFormat="1" applyFont="1" applyFill="1" applyBorder="1" applyAlignment="1">
      <alignment/>
    </xf>
    <xf numFmtId="0" fontId="7" fillId="3" borderId="4" xfId="21" applyFont="1" applyFill="1" applyBorder="1">
      <alignment/>
      <protection/>
    </xf>
    <xf numFmtId="0" fontId="7" fillId="2" borderId="63" xfId="21" applyFont="1" applyFill="1" applyBorder="1">
      <alignment/>
      <protection/>
    </xf>
    <xf numFmtId="211" fontId="7" fillId="5" borderId="37" xfId="0" applyNumberFormat="1" applyFont="1" applyFill="1" applyBorder="1" applyAlignment="1">
      <alignment/>
    </xf>
    <xf numFmtId="211" fontId="7" fillId="5" borderId="47" xfId="0" applyNumberFormat="1" applyFont="1" applyFill="1" applyBorder="1" applyAlignment="1">
      <alignment/>
    </xf>
    <xf numFmtId="211" fontId="7" fillId="5" borderId="54" xfId="0" applyNumberFormat="1" applyFont="1" applyFill="1" applyBorder="1" applyAlignment="1">
      <alignment/>
    </xf>
    <xf numFmtId="0" fontId="7" fillId="5" borderId="47" xfId="0" applyFont="1" applyFill="1" applyBorder="1" applyAlignment="1">
      <alignment/>
    </xf>
    <xf numFmtId="0" fontId="7" fillId="5" borderId="54" xfId="0" applyFont="1" applyFill="1" applyBorder="1" applyAlignment="1">
      <alignment/>
    </xf>
    <xf numFmtId="3" fontId="7" fillId="5" borderId="25" xfId="0" applyNumberFormat="1" applyFont="1" applyFill="1" applyBorder="1" applyAlignment="1">
      <alignment/>
    </xf>
    <xf numFmtId="3" fontId="7" fillId="5" borderId="29" xfId="0" applyNumberFormat="1" applyFont="1" applyFill="1" applyBorder="1" applyAlignment="1">
      <alignment/>
    </xf>
    <xf numFmtId="3" fontId="7" fillId="5" borderId="35" xfId="0" applyNumberFormat="1" applyFont="1" applyFill="1" applyBorder="1" applyAlignment="1">
      <alignment/>
    </xf>
    <xf numFmtId="0" fontId="7" fillId="9" borderId="8" xfId="0" applyFont="1" applyFill="1" applyBorder="1" applyAlignment="1">
      <alignment wrapText="1"/>
    </xf>
    <xf numFmtId="0" fontId="7" fillId="9" borderId="3" xfId="0" applyFont="1" applyFill="1" applyBorder="1" applyAlignment="1">
      <alignment/>
    </xf>
    <xf numFmtId="3" fontId="7" fillId="9" borderId="3" xfId="0" applyNumberFormat="1" applyFont="1" applyFill="1" applyBorder="1" applyAlignment="1">
      <alignment/>
    </xf>
    <xf numFmtId="2" fontId="7" fillId="5" borderId="73" xfId="0" applyNumberFormat="1" applyFont="1" applyFill="1" applyBorder="1" applyAlignment="1">
      <alignment horizontal="center" vertical="top" wrapText="1"/>
    </xf>
    <xf numFmtId="0" fontId="7" fillId="0" borderId="82" xfId="0" applyFont="1" applyFill="1" applyBorder="1" applyAlignment="1">
      <alignment/>
    </xf>
    <xf numFmtId="9" fontId="7" fillId="5" borderId="36" xfId="0" applyNumberFormat="1" applyFont="1" applyFill="1" applyBorder="1" applyAlignment="1">
      <alignment horizontal="center"/>
    </xf>
    <xf numFmtId="9" fontId="7" fillId="5" borderId="26" xfId="0" applyNumberFormat="1" applyFont="1" applyFill="1" applyBorder="1" applyAlignment="1">
      <alignment horizontal="center"/>
    </xf>
    <xf numFmtId="9" fontId="7" fillId="5" borderId="46" xfId="0" applyNumberFormat="1" applyFont="1" applyFill="1" applyBorder="1" applyAlignment="1">
      <alignment horizontal="center"/>
    </xf>
    <xf numFmtId="9" fontId="7" fillId="5" borderId="3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 vertical="top" wrapText="1"/>
    </xf>
    <xf numFmtId="0" fontId="18" fillId="3" borderId="28" xfId="0" applyFont="1" applyFill="1" applyBorder="1" applyAlignment="1">
      <alignment horizontal="center" vertical="top" wrapText="1"/>
    </xf>
    <xf numFmtId="4" fontId="7" fillId="3" borderId="5" xfId="0" applyNumberFormat="1" applyFont="1" applyFill="1" applyBorder="1" applyAlignment="1">
      <alignment/>
    </xf>
    <xf numFmtId="0" fontId="7" fillId="3" borderId="6" xfId="0" applyFont="1" applyFill="1" applyBorder="1" applyAlignment="1">
      <alignment/>
    </xf>
    <xf numFmtId="211" fontId="7" fillId="3" borderId="22" xfId="0" applyNumberFormat="1" applyFont="1" applyFill="1" applyBorder="1" applyAlignment="1">
      <alignment/>
    </xf>
    <xf numFmtId="211" fontId="7" fillId="3" borderId="28" xfId="0" applyNumberFormat="1" applyFont="1" applyFill="1" applyBorder="1" applyAlignment="1">
      <alignment/>
    </xf>
    <xf numFmtId="211" fontId="7" fillId="3" borderId="21" xfId="0" applyNumberFormat="1" applyFont="1" applyFill="1" applyBorder="1" applyAlignment="1">
      <alignment/>
    </xf>
    <xf numFmtId="211" fontId="7" fillId="3" borderId="27" xfId="0" applyNumberFormat="1" applyFont="1" applyFill="1" applyBorder="1" applyAlignment="1">
      <alignment/>
    </xf>
    <xf numFmtId="211" fontId="7" fillId="3" borderId="30" xfId="0" applyNumberFormat="1" applyFont="1" applyFill="1" applyBorder="1" applyAlignment="1">
      <alignment/>
    </xf>
    <xf numFmtId="211" fontId="7" fillId="3" borderId="32" xfId="0" applyNumberFormat="1" applyFont="1" applyFill="1" applyBorder="1" applyAlignment="1">
      <alignment/>
    </xf>
    <xf numFmtId="0" fontId="18" fillId="3" borderId="35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/>
    </xf>
    <xf numFmtId="211" fontId="7" fillId="3" borderId="35" xfId="0" applyNumberFormat="1" applyFont="1" applyFill="1" applyBorder="1" applyAlignment="1">
      <alignment/>
    </xf>
    <xf numFmtId="211" fontId="7" fillId="3" borderId="25" xfId="0" applyNumberFormat="1" applyFont="1" applyFill="1" applyBorder="1" applyAlignment="1">
      <alignment/>
    </xf>
    <xf numFmtId="211" fontId="7" fillId="3" borderId="29" xfId="0" applyNumberFormat="1" applyFont="1" applyFill="1" applyBorder="1" applyAlignment="1">
      <alignment/>
    </xf>
    <xf numFmtId="0" fontId="18" fillId="3" borderId="2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/>
    </xf>
    <xf numFmtId="211" fontId="7" fillId="3" borderId="38" xfId="0" applyNumberFormat="1" applyFont="1" applyFill="1" applyBorder="1" applyAlignment="1">
      <alignment/>
    </xf>
    <xf numFmtId="211" fontId="7" fillId="3" borderId="2" xfId="0" applyNumberFormat="1" applyFont="1" applyFill="1" applyBorder="1" applyAlignment="1">
      <alignment/>
    </xf>
    <xf numFmtId="211" fontId="7" fillId="3" borderId="69" xfId="0" applyNumberFormat="1" applyFont="1" applyFill="1" applyBorder="1" applyAlignment="1">
      <alignment/>
    </xf>
    <xf numFmtId="211" fontId="7" fillId="3" borderId="58" xfId="0" applyNumberFormat="1" applyFont="1" applyFill="1" applyBorder="1" applyAlignment="1">
      <alignment/>
    </xf>
    <xf numFmtId="0" fontId="7" fillId="2" borderId="34" xfId="0" applyFont="1" applyFill="1" applyBorder="1" applyAlignment="1">
      <alignment/>
    </xf>
    <xf numFmtId="176" fontId="7" fillId="2" borderId="1" xfId="22" applyFont="1" applyFill="1" applyBorder="1">
      <alignment horizontal="right"/>
    </xf>
    <xf numFmtId="176" fontId="7" fillId="2" borderId="57" xfId="22" applyFont="1" applyFill="1" applyBorder="1">
      <alignment horizontal="right"/>
    </xf>
    <xf numFmtId="176" fontId="7" fillId="2" borderId="70" xfId="22" applyFont="1" applyFill="1" applyBorder="1">
      <alignment horizontal="right"/>
    </xf>
    <xf numFmtId="38" fontId="7" fillId="9" borderId="3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5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38" fontId="7" fillId="9" borderId="29" xfId="0" applyNumberFormat="1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ill="1" applyBorder="1" applyAlignment="1">
      <alignment/>
    </xf>
    <xf numFmtId="0" fontId="30" fillId="0" borderId="0" xfId="0" applyFont="1" applyAlignment="1">
      <alignment/>
    </xf>
    <xf numFmtId="211" fontId="16" fillId="2" borderId="66" xfId="0" applyNumberFormat="1" applyFont="1" applyFill="1" applyBorder="1" applyAlignment="1">
      <alignment/>
    </xf>
    <xf numFmtId="211" fontId="16" fillId="2" borderId="35" xfId="0" applyNumberFormat="1" applyFont="1" applyFill="1" applyBorder="1" applyAlignment="1">
      <alignment/>
    </xf>
    <xf numFmtId="211" fontId="16" fillId="2" borderId="25" xfId="0" applyNumberFormat="1" applyFont="1" applyFill="1" applyBorder="1" applyAlignment="1">
      <alignment/>
    </xf>
    <xf numFmtId="211" fontId="16" fillId="2" borderId="29" xfId="0" applyNumberFormat="1" applyFont="1" applyFill="1" applyBorder="1" applyAlignment="1">
      <alignment/>
    </xf>
    <xf numFmtId="211" fontId="7" fillId="23" borderId="43" xfId="0" applyNumberFormat="1" applyFont="1" applyFill="1" applyBorder="1" applyAlignment="1">
      <alignment/>
    </xf>
    <xf numFmtId="211" fontId="7" fillId="23" borderId="41" xfId="0" applyNumberFormat="1" applyFont="1" applyFill="1" applyBorder="1" applyAlignment="1">
      <alignment/>
    </xf>
    <xf numFmtId="211" fontId="7" fillId="23" borderId="42" xfId="0" applyNumberFormat="1" applyFont="1" applyFill="1" applyBorder="1" applyAlignment="1">
      <alignment/>
    </xf>
    <xf numFmtId="3" fontId="7" fillId="9" borderId="35" xfId="0" applyNumberFormat="1" applyFont="1" applyFill="1" applyBorder="1" applyAlignment="1">
      <alignment/>
    </xf>
    <xf numFmtId="3" fontId="7" fillId="9" borderId="25" xfId="0" applyNumberFormat="1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0" fontId="6" fillId="6" borderId="73" xfId="0" applyFont="1" applyFill="1" applyBorder="1" applyAlignment="1">
      <alignment/>
    </xf>
    <xf numFmtId="209" fontId="0" fillId="2" borderId="45" xfId="0" applyNumberFormat="1" applyFill="1" applyBorder="1" applyAlignment="1">
      <alignment/>
    </xf>
    <xf numFmtId="0" fontId="7" fillId="17" borderId="38" xfId="0" applyFont="1" applyFill="1" applyBorder="1" applyAlignment="1">
      <alignment/>
    </xf>
    <xf numFmtId="0" fontId="0" fillId="2" borderId="2" xfId="0" applyFill="1" applyBorder="1" applyAlignment="1">
      <alignment/>
    </xf>
    <xf numFmtId="209" fontId="0" fillId="2" borderId="2" xfId="0" applyNumberFormat="1" applyFill="1" applyBorder="1" applyAlignment="1">
      <alignment/>
    </xf>
    <xf numFmtId="209" fontId="0" fillId="2" borderId="34" xfId="0" applyNumberFormat="1" applyFill="1" applyBorder="1" applyAlignment="1">
      <alignment/>
    </xf>
    <xf numFmtId="209" fontId="0" fillId="2" borderId="74" xfId="0" applyNumberFormat="1" applyFill="1" applyBorder="1" applyAlignment="1">
      <alignment/>
    </xf>
    <xf numFmtId="0" fontId="6" fillId="6" borderId="10" xfId="0" applyFont="1" applyFill="1" applyBorder="1" applyAlignment="1">
      <alignment wrapText="1"/>
    </xf>
    <xf numFmtId="209" fontId="0" fillId="2" borderId="56" xfId="0" applyNumberFormat="1" applyFill="1" applyBorder="1" applyAlignment="1">
      <alignment/>
    </xf>
    <xf numFmtId="209" fontId="0" fillId="2" borderId="67" xfId="0" applyNumberFormat="1" applyFill="1" applyBorder="1" applyAlignment="1">
      <alignment/>
    </xf>
    <xf numFmtId="209" fontId="0" fillId="2" borderId="49" xfId="0" applyNumberFormat="1" applyFill="1" applyBorder="1" applyAlignment="1">
      <alignment/>
    </xf>
    <xf numFmtId="209" fontId="9" fillId="11" borderId="8" xfId="0" applyNumberFormat="1" applyFont="1" applyFill="1" applyBorder="1" applyAlignment="1">
      <alignment/>
    </xf>
    <xf numFmtId="209" fontId="9" fillId="11" borderId="9" xfId="0" applyNumberFormat="1" applyFont="1" applyFill="1" applyBorder="1" applyAlignment="1">
      <alignment/>
    </xf>
    <xf numFmtId="209" fontId="9" fillId="11" borderId="10" xfId="0" applyNumberFormat="1" applyFont="1" applyFill="1" applyBorder="1" applyAlignment="1">
      <alignment/>
    </xf>
    <xf numFmtId="0" fontId="1" fillId="6" borderId="57" xfId="0" applyFont="1" applyFill="1" applyBorder="1" applyAlignment="1">
      <alignment/>
    </xf>
    <xf numFmtId="211" fontId="0" fillId="2" borderId="2" xfId="0" applyNumberFormat="1" applyFill="1" applyBorder="1" applyAlignment="1">
      <alignment/>
    </xf>
    <xf numFmtId="211" fontId="0" fillId="2" borderId="3" xfId="0" applyNumberFormat="1" applyFill="1" applyBorder="1" applyAlignment="1">
      <alignment/>
    </xf>
    <xf numFmtId="211" fontId="0" fillId="2" borderId="56" xfId="0" applyNumberFormat="1" applyFill="1" applyBorder="1" applyAlignment="1">
      <alignment/>
    </xf>
    <xf numFmtId="211" fontId="9" fillId="11" borderId="57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211" fontId="7" fillId="0" borderId="0" xfId="22" applyNumberFormat="1" applyFont="1" applyFill="1" applyBorder="1" applyAlignment="1">
      <alignment vertical="top" wrapText="1"/>
    </xf>
    <xf numFmtId="211" fontId="7" fillId="0" borderId="0" xfId="22" applyNumberFormat="1" applyFont="1" applyBorder="1">
      <alignment horizontal="right"/>
    </xf>
    <xf numFmtId="211" fontId="7" fillId="0" borderId="0" xfId="18" applyNumberFormat="1" applyFont="1" applyBorder="1" applyAlignment="1">
      <alignment/>
    </xf>
    <xf numFmtId="211" fontId="7" fillId="2" borderId="70" xfId="22" applyNumberFormat="1" applyFont="1" applyFill="1" applyBorder="1" applyAlignment="1">
      <alignment vertical="top" wrapText="1"/>
    </xf>
    <xf numFmtId="0" fontId="7" fillId="9" borderId="3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9" fontId="6" fillId="5" borderId="9" xfId="0" applyNumberFormat="1" applyFont="1" applyFill="1" applyBorder="1" applyAlignment="1">
      <alignment horizontal="center"/>
    </xf>
    <xf numFmtId="9" fontId="6" fillId="5" borderId="10" xfId="0" applyNumberFormat="1" applyFont="1" applyFill="1" applyBorder="1" applyAlignment="1">
      <alignment horizontal="center"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3" fontId="7" fillId="2" borderId="3" xfId="21" applyNumberFormat="1" applyFont="1" applyFill="1" applyBorder="1">
      <alignment/>
      <protection/>
    </xf>
    <xf numFmtId="0" fontId="7" fillId="14" borderId="3" xfId="21" applyFont="1" applyFill="1" applyBorder="1" applyAlignment="1">
      <alignment wrapText="1"/>
      <protection/>
    </xf>
    <xf numFmtId="2" fontId="7" fillId="14" borderId="3" xfId="21" applyNumberFormat="1" applyFont="1" applyFill="1" applyBorder="1">
      <alignment/>
      <protection/>
    </xf>
    <xf numFmtId="0" fontId="9" fillId="17" borderId="9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7" borderId="77" xfId="0" applyFont="1" applyFill="1" applyBorder="1" applyAlignment="1">
      <alignment horizontal="center"/>
    </xf>
    <xf numFmtId="0" fontId="9" fillId="17" borderId="62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6" fillId="17" borderId="9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top" wrapText="1"/>
    </xf>
    <xf numFmtId="0" fontId="17" fillId="5" borderId="1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211" fontId="6" fillId="4" borderId="28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211" fontId="6" fillId="4" borderId="27" xfId="0" applyNumberFormat="1" applyFont="1" applyFill="1" applyBorder="1" applyAlignment="1">
      <alignment horizontal="center" vertical="center"/>
    </xf>
    <xf numFmtId="211" fontId="6" fillId="4" borderId="32" xfId="0" applyNumberFormat="1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62" xfId="0" applyFont="1" applyFill="1" applyBorder="1" applyAlignment="1">
      <alignment horizontal="center" vertical="center" wrapText="1"/>
    </xf>
    <xf numFmtId="0" fontId="17" fillId="5" borderId="6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6" fillId="14" borderId="9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6" fillId="23" borderId="9" xfId="0" applyFont="1" applyFill="1" applyBorder="1" applyAlignment="1">
      <alignment horizontal="center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top" wrapText="1"/>
    </xf>
    <xf numFmtId="0" fontId="6" fillId="17" borderId="9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6" fillId="18" borderId="18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26" borderId="60" xfId="0" applyFont="1" applyFill="1" applyBorder="1" applyAlignment="1">
      <alignment horizontal="center" vertical="center" wrapText="1"/>
    </xf>
    <xf numFmtId="0" fontId="1" fillId="26" borderId="77" xfId="0" applyFont="1" applyFill="1" applyBorder="1" applyAlignment="1">
      <alignment horizontal="center" vertical="center"/>
    </xf>
    <xf numFmtId="0" fontId="1" fillId="26" borderId="6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left"/>
    </xf>
    <xf numFmtId="0" fontId="9" fillId="17" borderId="18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left"/>
    </xf>
    <xf numFmtId="0" fontId="7" fillId="16" borderId="60" xfId="21" applyFont="1" applyFill="1" applyBorder="1" applyAlignment="1">
      <alignment horizontal="center"/>
      <protection/>
    </xf>
    <xf numFmtId="0" fontId="7" fillId="16" borderId="62" xfId="21" applyFont="1" applyFill="1" applyBorder="1" applyAlignment="1">
      <alignment horizontal="center"/>
      <protection/>
    </xf>
    <xf numFmtId="0" fontId="7" fillId="0" borderId="60" xfId="21" applyFont="1" applyFill="1" applyBorder="1" applyAlignment="1">
      <alignment horizontal="center"/>
      <protection/>
    </xf>
    <xf numFmtId="0" fontId="7" fillId="0" borderId="62" xfId="21" applyFont="1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4" borderId="78" xfId="0" applyFont="1" applyFill="1" applyBorder="1" applyAlignment="1">
      <alignment horizontal="center" vertical="center" wrapText="1"/>
    </xf>
    <xf numFmtId="0" fontId="1" fillId="24" borderId="79" xfId="0" applyFont="1" applyFill="1" applyBorder="1" applyAlignment="1">
      <alignment horizontal="center" vertical="center" wrapText="1"/>
    </xf>
    <xf numFmtId="0" fontId="1" fillId="6" borderId="78" xfId="0" applyFont="1" applyFill="1" applyBorder="1" applyAlignment="1">
      <alignment horizontal="center" vertical="center"/>
    </xf>
    <xf numFmtId="0" fontId="1" fillId="6" borderId="79" xfId="0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0" fontId="29" fillId="18" borderId="18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5" fillId="5" borderId="9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8" fillId="16" borderId="0" xfId="0" applyFont="1" applyFill="1" applyAlignment="1">
      <alignment horizontal="left"/>
    </xf>
    <xf numFmtId="0" fontId="0" fillId="16" borderId="0" xfId="0" applyFill="1" applyAlignment="1">
      <alignment/>
    </xf>
    <xf numFmtId="0" fontId="9" fillId="16" borderId="0" xfId="0" applyFont="1" applyFill="1" applyAlignment="1">
      <alignment horizontal="left"/>
    </xf>
    <xf numFmtId="0" fontId="6" fillId="16" borderId="0" xfId="0" applyFont="1" applyFill="1" applyAlignment="1">
      <alignment horizontal="left"/>
    </xf>
    <xf numFmtId="0" fontId="16" fillId="16" borderId="0" xfId="0" applyFont="1" applyFill="1" applyAlignment="1">
      <alignment horizontal="left"/>
    </xf>
    <xf numFmtId="0" fontId="36" fillId="16" borderId="0" xfId="0" applyFont="1" applyFill="1" applyAlignment="1">
      <alignment/>
    </xf>
    <xf numFmtId="0" fontId="27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0" fontId="7" fillId="16" borderId="0" xfId="0" applyFont="1" applyFill="1" applyAlignment="1">
      <alignment horizontal="left"/>
    </xf>
    <xf numFmtId="0" fontId="18" fillId="16" borderId="0" xfId="0" applyFont="1" applyFill="1" applyAlignment="1">
      <alignment horizontal="left"/>
    </xf>
    <xf numFmtId="0" fontId="35" fillId="16" borderId="0" xfId="0" applyFont="1" applyFill="1" applyAlignment="1">
      <alignment/>
    </xf>
    <xf numFmtId="0" fontId="34" fillId="16" borderId="0" xfId="0" applyFont="1" applyFill="1" applyAlignment="1">
      <alignment horizontal="left"/>
    </xf>
    <xf numFmtId="0" fontId="34" fillId="16" borderId="0" xfId="0" applyFont="1" applyFill="1" applyAlignment="1">
      <alignment/>
    </xf>
    <xf numFmtId="0" fontId="18" fillId="16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GuV Planung" xfId="21"/>
    <cellStyle name="Currency" xfId="22"/>
    <cellStyle name="Currency [0]" xfId="23"/>
  </cellStyles>
  <dxfs count="1">
    <dxf>
      <font>
        <b/>
        <i val="0"/>
        <color rgb="FFFCF305"/>
      </font>
      <fill>
        <patternFill>
          <bgColor rgb="FFDD2D32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Liquiditätsplanung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Liquiditätsplanung!$X$3</c:f>
              <c:strCache>
                <c:ptCount val="1"/>
                <c:pt idx="0">
                  <c:v>Über/Unter-deckung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Liquiditätsplanung!$W$4:$W$59</c:f>
              <c:numCache/>
            </c:numRef>
          </c:xVal>
          <c:yVal>
            <c:numRef>
              <c:f>Liquiditätsplanung!$X$4:$X$59</c:f>
              <c:numCache>
                <c:ptCount val="56"/>
                <c:pt idx="0">
                  <c:v>439861.0222312008</c:v>
                </c:pt>
                <c:pt idx="1">
                  <c:v>409722.0444624017</c:v>
                </c:pt>
                <c:pt idx="2">
                  <c:v>379583.0666936026</c:v>
                </c:pt>
                <c:pt idx="3">
                  <c:v>299444.0889248034</c:v>
                </c:pt>
                <c:pt idx="4">
                  <c:v>257795.49577138893</c:v>
                </c:pt>
                <c:pt idx="5">
                  <c:v>202932.6169036887</c:v>
                </c:pt>
                <c:pt idx="6">
                  <c:v>161284.0237502742</c:v>
                </c:pt>
                <c:pt idx="7">
                  <c:v>119635.43059685966</c:v>
                </c:pt>
                <c:pt idx="8">
                  <c:v>86756.06821267592</c:v>
                </c:pt>
                <c:pt idx="9">
                  <c:v>53876.70582849218</c:v>
                </c:pt>
                <c:pt idx="10">
                  <c:v>7783.057730022701</c:v>
                </c:pt>
                <c:pt idx="11">
                  <c:v>27736.93153250555</c:v>
                </c:pt>
                <c:pt idx="12">
                  <c:v>36652.63173695863</c:v>
                </c:pt>
                <c:pt idx="13">
                  <c:v>45568.331941411714</c:v>
                </c:pt>
                <c:pt idx="14">
                  <c:v>54484.032145864796</c:v>
                </c:pt>
                <c:pt idx="15">
                  <c:v>63399.73235031788</c:v>
                </c:pt>
                <c:pt idx="16">
                  <c:v>62138.509477847954</c:v>
                </c:pt>
                <c:pt idx="17">
                  <c:v>44140.75262590032</c:v>
                </c:pt>
                <c:pt idx="18">
                  <c:v>42364.424345381325</c:v>
                </c:pt>
                <c:pt idx="19">
                  <c:v>40588.09606486233</c:v>
                </c:pt>
                <c:pt idx="20">
                  <c:v>46827.76840926637</c:v>
                </c:pt>
                <c:pt idx="21">
                  <c:v>53067.44075367041</c:v>
                </c:pt>
                <c:pt idx="22">
                  <c:v>43085.684526646044</c:v>
                </c:pt>
                <c:pt idx="23">
                  <c:v>49325.356871050084</c:v>
                </c:pt>
                <c:pt idx="24">
                  <c:v>52232.125111497706</c:v>
                </c:pt>
                <c:pt idx="25">
                  <c:v>55138.89335194533</c:v>
                </c:pt>
                <c:pt idx="26">
                  <c:v>58045.66159239295</c:v>
                </c:pt>
                <c:pt idx="27">
                  <c:v>60952.42983284057</c:v>
                </c:pt>
                <c:pt idx="28">
                  <c:v>49950.73653482669</c:v>
                </c:pt>
                <c:pt idx="29">
                  <c:v>22403.186093955534</c:v>
                </c:pt>
                <c:pt idx="30">
                  <c:v>11401.492795941653</c:v>
                </c:pt>
                <c:pt idx="31">
                  <c:v>399.7994979277719</c:v>
                </c:pt>
                <c:pt idx="32">
                  <c:v>21738.602732242085</c:v>
                </c:pt>
                <c:pt idx="33">
                  <c:v>43077.4059665564</c:v>
                </c:pt>
                <c:pt idx="34">
                  <c:v>47870.352058013435</c:v>
                </c:pt>
                <c:pt idx="35">
                  <c:v>69209.15529232775</c:v>
                </c:pt>
                <c:pt idx="36">
                  <c:v>87121.42602431099</c:v>
                </c:pt>
                <c:pt idx="37">
                  <c:v>105033.69675629423</c:v>
                </c:pt>
                <c:pt idx="38">
                  <c:v>122945.96748827747</c:v>
                </c:pt>
                <c:pt idx="39">
                  <c:v>140858.23822026048</c:v>
                </c:pt>
                <c:pt idx="40">
                  <c:v>142919.95125993644</c:v>
                </c:pt>
                <c:pt idx="41">
                  <c:v>124879.7471567546</c:v>
                </c:pt>
                <c:pt idx="42">
                  <c:v>126941.4601964308</c:v>
                </c:pt>
                <c:pt idx="43">
                  <c:v>129003.17323610606</c:v>
                </c:pt>
                <c:pt idx="44">
                  <c:v>193601.18697155593</c:v>
                </c:pt>
                <c:pt idx="45">
                  <c:v>258199.2007070058</c:v>
                </c:pt>
                <c:pt idx="46">
                  <c:v>302695.29729959834</c:v>
                </c:pt>
                <c:pt idx="47">
                  <c:v>367293.3110350482</c:v>
                </c:pt>
                <c:pt idx="48">
                  <c:v>430046.73500029976</c:v>
                </c:pt>
                <c:pt idx="49">
                  <c:v>492800.1589655513</c:v>
                </c:pt>
                <c:pt idx="50">
                  <c:v>555553.5829308028</c:v>
                </c:pt>
                <c:pt idx="51">
                  <c:v>618307.0068960544</c:v>
                </c:pt>
                <c:pt idx="52">
                  <c:v>660864.3270151522</c:v>
                </c:pt>
                <c:pt idx="53">
                  <c:v>682917.6916485354</c:v>
                </c:pt>
                <c:pt idx="54">
                  <c:v>725475.0117676333</c:v>
                </c:pt>
                <c:pt idx="55">
                  <c:v>768032.3318867311</c:v>
                </c:pt>
              </c:numCache>
            </c:numRef>
          </c:yVal>
          <c:smooth val="0"/>
        </c:ser>
        <c:axId val="65767677"/>
        <c:axId val="55038182"/>
      </c:scatterChart>
      <c:valAx>
        <c:axId val="65767677"/>
        <c:scaling>
          <c:orientation val="minMax"/>
          <c:max val="5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38182"/>
        <c:crosses val="autoZero"/>
        <c:crossBetween val="midCat"/>
        <c:dispUnits/>
        <c:majorUnit val="6"/>
      </c:valAx>
      <c:valAx>
        <c:axId val="5503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Über/Unterdeckung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67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Amortisation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Kennzahlen'!$B$11:$F$11</c:f>
              <c:numCache/>
            </c:numRef>
          </c:cat>
          <c:val>
            <c:numRef>
              <c:f>'Cash Flow u. Kennzahlen'!$B$10:$F$10</c:f>
              <c:numCache>
                <c:ptCount val="5"/>
                <c:pt idx="0">
                  <c:v>-64597.178974161034</c:v>
                </c:pt>
                <c:pt idx="1">
                  <c:v>-31167.091289994765</c:v>
                </c:pt>
                <c:pt idx="2">
                  <c:v>121837.96748916263</c:v>
                </c:pt>
                <c:pt idx="3">
                  <c:v>625515.5423170028</c:v>
                </c:pt>
                <c:pt idx="4">
                  <c:v>1495951.0571492338</c:v>
                </c:pt>
              </c:numCache>
            </c:numRef>
          </c:val>
        </c:ser>
        <c:axId val="25581591"/>
        <c:axId val="28907728"/>
      </c:barChart>
      <c:catAx>
        <c:axId val="2558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 Flow - Investitionskosten (kumuliert)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1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Cash-Flow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'Cash Flow u. Kennzahlen'!$B$3:$F$3</c:f>
              <c:numCache/>
            </c:numRef>
          </c:cat>
          <c:val>
            <c:numRef>
              <c:f>'Cash Flow u. Kennzahlen'!$B$6:$F$6</c:f>
              <c:numCache>
                <c:ptCount val="5"/>
                <c:pt idx="0">
                  <c:v>-64597.178974161034</c:v>
                </c:pt>
                <c:pt idx="1">
                  <c:v>33430.08768416627</c:v>
                </c:pt>
                <c:pt idx="2">
                  <c:v>153005.0587791574</c:v>
                </c:pt>
                <c:pt idx="3">
                  <c:v>503677.5748278401</c:v>
                </c:pt>
                <c:pt idx="4">
                  <c:v>870435.5148322309</c:v>
                </c:pt>
              </c:numCache>
            </c:numRef>
          </c:val>
        </c:ser>
        <c:axId val="58842961"/>
        <c:axId val="59824602"/>
      </c:barChart>
      <c:cat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Cash-Flow (€)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28575</xdr:rowOff>
    </xdr:from>
    <xdr:to>
      <xdr:col>2</xdr:col>
      <xdr:colOff>847725</xdr:colOff>
      <xdr:row>3</xdr:row>
      <xdr:rowOff>152400</xdr:rowOff>
    </xdr:to>
    <xdr:sp>
      <xdr:nvSpPr>
        <xdr:cNvPr id="1" name="AutoShape 10"/>
        <xdr:cNvSpPr>
          <a:spLocks/>
        </xdr:cNvSpPr>
      </xdr:nvSpPr>
      <xdr:spPr>
        <a:xfrm>
          <a:off x="2552700" y="847725"/>
          <a:ext cx="247650" cy="4572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0</xdr:rowOff>
    </xdr:from>
    <xdr:to>
      <xdr:col>10</xdr:col>
      <xdr:colOff>85725</xdr:colOff>
      <xdr:row>4</xdr:row>
      <xdr:rowOff>76200</xdr:rowOff>
    </xdr:to>
    <xdr:sp>
      <xdr:nvSpPr>
        <xdr:cNvPr id="2" name="AutoShape 14"/>
        <xdr:cNvSpPr>
          <a:spLocks/>
        </xdr:cNvSpPr>
      </xdr:nvSpPr>
      <xdr:spPr>
        <a:xfrm rot="5400000">
          <a:off x="8496300" y="115252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104775</xdr:rowOff>
    </xdr:from>
    <xdr:to>
      <xdr:col>10</xdr:col>
      <xdr:colOff>85725</xdr:colOff>
      <xdr:row>13</xdr:row>
      <xdr:rowOff>190500</xdr:rowOff>
    </xdr:to>
    <xdr:sp>
      <xdr:nvSpPr>
        <xdr:cNvPr id="3" name="AutoShape 15"/>
        <xdr:cNvSpPr>
          <a:spLocks/>
        </xdr:cNvSpPr>
      </xdr:nvSpPr>
      <xdr:spPr>
        <a:xfrm rot="5400000">
          <a:off x="8496300" y="2657475"/>
          <a:ext cx="457200" cy="247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0</xdr:rowOff>
    </xdr:from>
    <xdr:to>
      <xdr:col>4</xdr:col>
      <xdr:colOff>19050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829050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0</xdr:rowOff>
    </xdr:from>
    <xdr:to>
      <xdr:col>5</xdr:col>
      <xdr:colOff>9525</xdr:colOff>
      <xdr:row>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657725" y="200025"/>
          <a:ext cx="276225" cy="3333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9525</xdr:rowOff>
    </xdr:from>
    <xdr:to>
      <xdr:col>5</xdr:col>
      <xdr:colOff>800100</xdr:colOff>
      <xdr:row>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959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571500</xdr:colOff>
      <xdr:row>1</xdr:row>
      <xdr:rowOff>9525</xdr:rowOff>
    </xdr:from>
    <xdr:to>
      <xdr:col>6</xdr:col>
      <xdr:colOff>800100</xdr:colOff>
      <xdr:row>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63341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1</xdr:row>
      <xdr:rowOff>9525</xdr:rowOff>
    </xdr:from>
    <xdr:to>
      <xdr:col>7</xdr:col>
      <xdr:colOff>800100</xdr:colOff>
      <xdr:row>2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7172325" y="209550"/>
          <a:ext cx="228600" cy="3048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581025</xdr:rowOff>
    </xdr:from>
    <xdr:to>
      <xdr:col>9</xdr:col>
      <xdr:colOff>790575</xdr:colOff>
      <xdr:row>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6877050" y="581025"/>
          <a:ext cx="21907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619125</xdr:rowOff>
    </xdr:from>
    <xdr:to>
      <xdr:col>6</xdr:col>
      <xdr:colOff>247650</xdr:colOff>
      <xdr:row>7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4505325" y="619125"/>
          <a:ext cx="2286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876300</xdr:colOff>
      <xdr:row>0</xdr:row>
      <xdr:rowOff>542925</xdr:rowOff>
    </xdr:from>
    <xdr:to>
      <xdr:col>11</xdr:col>
      <xdr:colOff>1076325</xdr:colOff>
      <xdr:row>2</xdr:row>
      <xdr:rowOff>57150</xdr:rowOff>
    </xdr:to>
    <xdr:sp>
      <xdr:nvSpPr>
        <xdr:cNvPr id="3" name="AutoShape 6"/>
        <xdr:cNvSpPr>
          <a:spLocks/>
        </xdr:cNvSpPr>
      </xdr:nvSpPr>
      <xdr:spPr>
        <a:xfrm>
          <a:off x="8191500" y="542925"/>
          <a:ext cx="200025" cy="361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762000</xdr:colOff>
      <xdr:row>5</xdr:row>
      <xdr:rowOff>161925</xdr:rowOff>
    </xdr:from>
    <xdr:to>
      <xdr:col>12</xdr:col>
      <xdr:colOff>38100</xdr:colOff>
      <xdr:row>7</xdr:row>
      <xdr:rowOff>0</xdr:rowOff>
    </xdr:to>
    <xdr:sp>
      <xdr:nvSpPr>
        <xdr:cNvPr id="4" name="AutoShape 10"/>
        <xdr:cNvSpPr>
          <a:spLocks/>
        </xdr:cNvSpPr>
      </xdr:nvSpPr>
      <xdr:spPr>
        <a:xfrm rot="5400000">
          <a:off x="8077200" y="1524000"/>
          <a:ext cx="371475" cy="180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847725</xdr:colOff>
      <xdr:row>3</xdr:row>
      <xdr:rowOff>161925</xdr:rowOff>
    </xdr:from>
    <xdr:to>
      <xdr:col>12</xdr:col>
      <xdr:colOff>161925</xdr:colOff>
      <xdr:row>5</xdr:row>
      <xdr:rowOff>19050</xdr:rowOff>
    </xdr:to>
    <xdr:sp>
      <xdr:nvSpPr>
        <xdr:cNvPr id="5" name="AutoShape 11"/>
        <xdr:cNvSpPr>
          <a:spLocks/>
        </xdr:cNvSpPr>
      </xdr:nvSpPr>
      <xdr:spPr>
        <a:xfrm rot="5400000">
          <a:off x="8162925" y="1181100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857250</xdr:colOff>
      <xdr:row>9</xdr:row>
      <xdr:rowOff>152400</xdr:rowOff>
    </xdr:from>
    <xdr:to>
      <xdr:col>12</xdr:col>
      <xdr:colOff>171450</xdr:colOff>
      <xdr:row>11</xdr:row>
      <xdr:rowOff>9525</xdr:rowOff>
    </xdr:to>
    <xdr:sp>
      <xdr:nvSpPr>
        <xdr:cNvPr id="6" name="AutoShape 12"/>
        <xdr:cNvSpPr>
          <a:spLocks/>
        </xdr:cNvSpPr>
      </xdr:nvSpPr>
      <xdr:spPr>
        <a:xfrm rot="5400000">
          <a:off x="8172450" y="2200275"/>
          <a:ext cx="409575" cy="2000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790575</xdr:colOff>
      <xdr:row>0</xdr:row>
      <xdr:rowOff>619125</xdr:rowOff>
    </xdr:from>
    <xdr:to>
      <xdr:col>7</xdr:col>
      <xdr:colOff>200025</xdr:colOff>
      <xdr:row>13</xdr:row>
      <xdr:rowOff>38100</xdr:rowOff>
    </xdr:to>
    <xdr:sp>
      <xdr:nvSpPr>
        <xdr:cNvPr id="7" name="AutoShape 16"/>
        <xdr:cNvSpPr>
          <a:spLocks/>
        </xdr:cNvSpPr>
      </xdr:nvSpPr>
      <xdr:spPr>
        <a:xfrm>
          <a:off x="5276850" y="619125"/>
          <a:ext cx="228600" cy="21526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704850</xdr:rowOff>
    </xdr:from>
    <xdr:to>
      <xdr:col>9</xdr:col>
      <xdr:colOff>771525</xdr:colOff>
      <xdr:row>2</xdr:row>
      <xdr:rowOff>371475</xdr:rowOff>
    </xdr:to>
    <xdr:sp>
      <xdr:nvSpPr>
        <xdr:cNvPr id="1" name="AutoShape 5"/>
        <xdr:cNvSpPr>
          <a:spLocks/>
        </xdr:cNvSpPr>
      </xdr:nvSpPr>
      <xdr:spPr>
        <a:xfrm>
          <a:off x="7524750" y="704850"/>
          <a:ext cx="304800" cy="8953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457200</xdr:colOff>
      <xdr:row>0</xdr:row>
      <xdr:rowOff>933450</xdr:rowOff>
    </xdr:from>
    <xdr:to>
      <xdr:col>17</xdr:col>
      <xdr:colOff>762000</xdr:colOff>
      <xdr:row>2</xdr:row>
      <xdr:rowOff>485775</xdr:rowOff>
    </xdr:to>
    <xdr:sp>
      <xdr:nvSpPr>
        <xdr:cNvPr id="2" name="AutoShape 6"/>
        <xdr:cNvSpPr>
          <a:spLocks/>
        </xdr:cNvSpPr>
      </xdr:nvSpPr>
      <xdr:spPr>
        <a:xfrm>
          <a:off x="14287500" y="933450"/>
          <a:ext cx="304800" cy="781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504825</xdr:colOff>
      <xdr:row>0</xdr:row>
      <xdr:rowOff>800100</xdr:rowOff>
    </xdr:from>
    <xdr:to>
      <xdr:col>19</xdr:col>
      <xdr:colOff>809625</xdr:colOff>
      <xdr:row>2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15963900" y="800100"/>
          <a:ext cx="3048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28575</xdr:colOff>
      <xdr:row>2</xdr:row>
      <xdr:rowOff>704850</xdr:rowOff>
    </xdr:from>
    <xdr:to>
      <xdr:col>32</xdr:col>
      <xdr:colOff>142875</xdr:colOff>
      <xdr:row>21</xdr:row>
      <xdr:rowOff>152400</xdr:rowOff>
    </xdr:to>
    <xdr:graphicFrame>
      <xdr:nvGraphicFramePr>
        <xdr:cNvPr id="4" name="Chart 8"/>
        <xdr:cNvGraphicFramePr/>
      </xdr:nvGraphicFramePr>
      <xdr:xfrm>
        <a:off x="19211925" y="1933575"/>
        <a:ext cx="6667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361950</xdr:rowOff>
    </xdr:from>
    <xdr:to>
      <xdr:col>2</xdr:col>
      <xdr:colOff>742950</xdr:colOff>
      <xdr:row>2</xdr:row>
      <xdr:rowOff>95250</xdr:rowOff>
    </xdr:to>
    <xdr:sp>
      <xdr:nvSpPr>
        <xdr:cNvPr id="1" name="AutoShape 37"/>
        <xdr:cNvSpPr>
          <a:spLocks/>
        </xdr:cNvSpPr>
      </xdr:nvSpPr>
      <xdr:spPr>
        <a:xfrm>
          <a:off x="16764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381000</xdr:rowOff>
    </xdr:from>
    <xdr:to>
      <xdr:col>3</xdr:col>
      <xdr:colOff>723900</xdr:colOff>
      <xdr:row>2</xdr:row>
      <xdr:rowOff>95250</xdr:rowOff>
    </xdr:to>
    <xdr:sp>
      <xdr:nvSpPr>
        <xdr:cNvPr id="2" name="AutoShape 38"/>
        <xdr:cNvSpPr>
          <a:spLocks/>
        </xdr:cNvSpPr>
      </xdr:nvSpPr>
      <xdr:spPr>
        <a:xfrm>
          <a:off x="26670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381000</xdr:rowOff>
    </xdr:from>
    <xdr:to>
      <xdr:col>5</xdr:col>
      <xdr:colOff>628650</xdr:colOff>
      <xdr:row>2</xdr:row>
      <xdr:rowOff>95250</xdr:rowOff>
    </xdr:to>
    <xdr:sp>
      <xdr:nvSpPr>
        <xdr:cNvPr id="3" name="AutoShape 40"/>
        <xdr:cNvSpPr>
          <a:spLocks/>
        </xdr:cNvSpPr>
      </xdr:nvSpPr>
      <xdr:spPr>
        <a:xfrm>
          <a:off x="439102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390525</xdr:rowOff>
    </xdr:from>
    <xdr:to>
      <xdr:col>6</xdr:col>
      <xdr:colOff>628650</xdr:colOff>
      <xdr:row>2</xdr:row>
      <xdr:rowOff>104775</xdr:rowOff>
    </xdr:to>
    <xdr:sp>
      <xdr:nvSpPr>
        <xdr:cNvPr id="4" name="AutoShape 41"/>
        <xdr:cNvSpPr>
          <a:spLocks/>
        </xdr:cNvSpPr>
      </xdr:nvSpPr>
      <xdr:spPr>
        <a:xfrm>
          <a:off x="5505450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361950</xdr:rowOff>
    </xdr:from>
    <xdr:to>
      <xdr:col>8</xdr:col>
      <xdr:colOff>742950</xdr:colOff>
      <xdr:row>2</xdr:row>
      <xdr:rowOff>95250</xdr:rowOff>
    </xdr:to>
    <xdr:sp>
      <xdr:nvSpPr>
        <xdr:cNvPr id="5" name="AutoShape 42"/>
        <xdr:cNvSpPr>
          <a:spLocks/>
        </xdr:cNvSpPr>
      </xdr:nvSpPr>
      <xdr:spPr>
        <a:xfrm>
          <a:off x="7848600" y="361950"/>
          <a:ext cx="304800" cy="4476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381000</xdr:rowOff>
    </xdr:from>
    <xdr:to>
      <xdr:col>9</xdr:col>
      <xdr:colOff>723900</xdr:colOff>
      <xdr:row>2</xdr:row>
      <xdr:rowOff>95250</xdr:rowOff>
    </xdr:to>
    <xdr:sp>
      <xdr:nvSpPr>
        <xdr:cNvPr id="6" name="AutoShape 43"/>
        <xdr:cNvSpPr>
          <a:spLocks/>
        </xdr:cNvSpPr>
      </xdr:nvSpPr>
      <xdr:spPr>
        <a:xfrm>
          <a:off x="8829675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381000</xdr:rowOff>
    </xdr:from>
    <xdr:to>
      <xdr:col>11</xdr:col>
      <xdr:colOff>628650</xdr:colOff>
      <xdr:row>2</xdr:row>
      <xdr:rowOff>95250</xdr:rowOff>
    </xdr:to>
    <xdr:sp>
      <xdr:nvSpPr>
        <xdr:cNvPr id="7" name="AutoShape 44"/>
        <xdr:cNvSpPr>
          <a:spLocks/>
        </xdr:cNvSpPr>
      </xdr:nvSpPr>
      <xdr:spPr>
        <a:xfrm>
          <a:off x="10515600" y="381000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0</xdr:row>
      <xdr:rowOff>390525</xdr:rowOff>
    </xdr:from>
    <xdr:to>
      <xdr:col>12</xdr:col>
      <xdr:colOff>628650</xdr:colOff>
      <xdr:row>2</xdr:row>
      <xdr:rowOff>104775</xdr:rowOff>
    </xdr:to>
    <xdr:sp>
      <xdr:nvSpPr>
        <xdr:cNvPr id="8" name="AutoShape 45"/>
        <xdr:cNvSpPr>
          <a:spLocks/>
        </xdr:cNvSpPr>
      </xdr:nvSpPr>
      <xdr:spPr>
        <a:xfrm>
          <a:off x="11630025" y="390525"/>
          <a:ext cx="304800" cy="4286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323850</xdr:colOff>
      <xdr:row>1</xdr:row>
      <xdr:rowOff>0</xdr:rowOff>
    </xdr:from>
    <xdr:to>
      <xdr:col>15</xdr:col>
      <xdr:colOff>628650</xdr:colOff>
      <xdr:row>2</xdr:row>
      <xdr:rowOff>114300</xdr:rowOff>
    </xdr:to>
    <xdr:sp>
      <xdr:nvSpPr>
        <xdr:cNvPr id="9" name="AutoShape 64"/>
        <xdr:cNvSpPr>
          <a:spLocks/>
        </xdr:cNvSpPr>
      </xdr:nvSpPr>
      <xdr:spPr>
        <a:xfrm>
          <a:off x="14020800" y="590550"/>
          <a:ext cx="304800" cy="238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228600</xdr:rowOff>
    </xdr:from>
    <xdr:to>
      <xdr:col>2</xdr:col>
      <xdr:colOff>742950</xdr:colOff>
      <xdr:row>31</xdr:row>
      <xdr:rowOff>0</xdr:rowOff>
    </xdr:to>
    <xdr:sp>
      <xdr:nvSpPr>
        <xdr:cNvPr id="10" name="AutoShape 65"/>
        <xdr:cNvSpPr>
          <a:spLocks/>
        </xdr:cNvSpPr>
      </xdr:nvSpPr>
      <xdr:spPr>
        <a:xfrm>
          <a:off x="16764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419100</xdr:colOff>
      <xdr:row>28</xdr:row>
      <xdr:rowOff>266700</xdr:rowOff>
    </xdr:from>
    <xdr:to>
      <xdr:col>3</xdr:col>
      <xdr:colOff>723900</xdr:colOff>
      <xdr:row>31</xdr:row>
      <xdr:rowOff>0</xdr:rowOff>
    </xdr:to>
    <xdr:sp>
      <xdr:nvSpPr>
        <xdr:cNvPr id="11" name="AutoShape 66"/>
        <xdr:cNvSpPr>
          <a:spLocks/>
        </xdr:cNvSpPr>
      </xdr:nvSpPr>
      <xdr:spPr>
        <a:xfrm>
          <a:off x="2667000" y="6648450"/>
          <a:ext cx="304800" cy="352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323850</xdr:colOff>
      <xdr:row>28</xdr:row>
      <xdr:rowOff>228600</xdr:rowOff>
    </xdr:from>
    <xdr:to>
      <xdr:col>5</xdr:col>
      <xdr:colOff>628650</xdr:colOff>
      <xdr:row>31</xdr:row>
      <xdr:rowOff>0</xdr:rowOff>
    </xdr:to>
    <xdr:sp>
      <xdr:nvSpPr>
        <xdr:cNvPr id="12" name="AutoShape 67"/>
        <xdr:cNvSpPr>
          <a:spLocks/>
        </xdr:cNvSpPr>
      </xdr:nvSpPr>
      <xdr:spPr>
        <a:xfrm>
          <a:off x="4391025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323850</xdr:colOff>
      <xdr:row>28</xdr:row>
      <xdr:rowOff>238125</xdr:rowOff>
    </xdr:from>
    <xdr:to>
      <xdr:col>6</xdr:col>
      <xdr:colOff>628650</xdr:colOff>
      <xdr:row>31</xdr:row>
      <xdr:rowOff>0</xdr:rowOff>
    </xdr:to>
    <xdr:sp>
      <xdr:nvSpPr>
        <xdr:cNvPr id="13" name="AutoShape 68"/>
        <xdr:cNvSpPr>
          <a:spLocks/>
        </xdr:cNvSpPr>
      </xdr:nvSpPr>
      <xdr:spPr>
        <a:xfrm>
          <a:off x="550545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438150</xdr:colOff>
      <xdr:row>28</xdr:row>
      <xdr:rowOff>238125</xdr:rowOff>
    </xdr:from>
    <xdr:to>
      <xdr:col>8</xdr:col>
      <xdr:colOff>742950</xdr:colOff>
      <xdr:row>31</xdr:row>
      <xdr:rowOff>0</xdr:rowOff>
    </xdr:to>
    <xdr:sp>
      <xdr:nvSpPr>
        <xdr:cNvPr id="14" name="AutoShape 69"/>
        <xdr:cNvSpPr>
          <a:spLocks/>
        </xdr:cNvSpPr>
      </xdr:nvSpPr>
      <xdr:spPr>
        <a:xfrm>
          <a:off x="7848600" y="6619875"/>
          <a:ext cx="304800" cy="381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419100</xdr:colOff>
      <xdr:row>28</xdr:row>
      <xdr:rowOff>247650</xdr:rowOff>
    </xdr:from>
    <xdr:to>
      <xdr:col>9</xdr:col>
      <xdr:colOff>723900</xdr:colOff>
      <xdr:row>31</xdr:row>
      <xdr:rowOff>0</xdr:rowOff>
    </xdr:to>
    <xdr:sp>
      <xdr:nvSpPr>
        <xdr:cNvPr id="15" name="AutoShape 70"/>
        <xdr:cNvSpPr>
          <a:spLocks/>
        </xdr:cNvSpPr>
      </xdr:nvSpPr>
      <xdr:spPr>
        <a:xfrm>
          <a:off x="882967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228600</xdr:rowOff>
    </xdr:from>
    <xdr:to>
      <xdr:col>11</xdr:col>
      <xdr:colOff>628650</xdr:colOff>
      <xdr:row>31</xdr:row>
      <xdr:rowOff>0</xdr:rowOff>
    </xdr:to>
    <xdr:sp>
      <xdr:nvSpPr>
        <xdr:cNvPr id="16" name="AutoShape 71"/>
        <xdr:cNvSpPr>
          <a:spLocks/>
        </xdr:cNvSpPr>
      </xdr:nvSpPr>
      <xdr:spPr>
        <a:xfrm>
          <a:off x="10515600" y="6610350"/>
          <a:ext cx="304800" cy="390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323850</xdr:colOff>
      <xdr:row>28</xdr:row>
      <xdr:rowOff>247650</xdr:rowOff>
    </xdr:from>
    <xdr:to>
      <xdr:col>12</xdr:col>
      <xdr:colOff>628650</xdr:colOff>
      <xdr:row>31</xdr:row>
      <xdr:rowOff>0</xdr:rowOff>
    </xdr:to>
    <xdr:sp>
      <xdr:nvSpPr>
        <xdr:cNvPr id="17" name="AutoShape 72"/>
        <xdr:cNvSpPr>
          <a:spLocks/>
        </xdr:cNvSpPr>
      </xdr:nvSpPr>
      <xdr:spPr>
        <a:xfrm>
          <a:off x="11630025" y="6629400"/>
          <a:ext cx="304800" cy="371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600075</xdr:colOff>
      <xdr:row>4</xdr:row>
      <xdr:rowOff>152400</xdr:rowOff>
    </xdr:from>
    <xdr:to>
      <xdr:col>28</xdr:col>
      <xdr:colOff>95250</xdr:colOff>
      <xdr:row>6</xdr:row>
      <xdr:rowOff>0</xdr:rowOff>
    </xdr:to>
    <xdr:sp>
      <xdr:nvSpPr>
        <xdr:cNvPr id="1" name="AutoShape 186"/>
        <xdr:cNvSpPr>
          <a:spLocks/>
        </xdr:cNvSpPr>
      </xdr:nvSpPr>
      <xdr:spPr>
        <a:xfrm>
          <a:off x="20669250" y="1000125"/>
          <a:ext cx="352425" cy="6191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219075</xdr:rowOff>
    </xdr:from>
    <xdr:to>
      <xdr:col>3</xdr:col>
      <xdr:colOff>504825</xdr:colOff>
      <xdr:row>5</xdr:row>
      <xdr:rowOff>123825</xdr:rowOff>
    </xdr:to>
    <xdr:sp>
      <xdr:nvSpPr>
        <xdr:cNvPr id="2" name="AutoShape 187"/>
        <xdr:cNvSpPr>
          <a:spLocks/>
        </xdr:cNvSpPr>
      </xdr:nvSpPr>
      <xdr:spPr>
        <a:xfrm>
          <a:off x="1771650" y="819150"/>
          <a:ext cx="2667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171450</xdr:colOff>
      <xdr:row>3</xdr:row>
      <xdr:rowOff>57150</xdr:rowOff>
    </xdr:from>
    <xdr:to>
      <xdr:col>14</xdr:col>
      <xdr:colOff>476250</xdr:colOff>
      <xdr:row>4</xdr:row>
      <xdr:rowOff>371475</xdr:rowOff>
    </xdr:to>
    <xdr:sp>
      <xdr:nvSpPr>
        <xdr:cNvPr id="3" name="AutoShape 197"/>
        <xdr:cNvSpPr>
          <a:spLocks/>
        </xdr:cNvSpPr>
      </xdr:nvSpPr>
      <xdr:spPr>
        <a:xfrm rot="10800000">
          <a:off x="10553700" y="65722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24</xdr:col>
      <xdr:colOff>476250</xdr:colOff>
      <xdr:row>3</xdr:row>
      <xdr:rowOff>180975</xdr:rowOff>
    </xdr:from>
    <xdr:to>
      <xdr:col>25</xdr:col>
      <xdr:colOff>142875</xdr:colOff>
      <xdr:row>5</xdr:row>
      <xdr:rowOff>133350</xdr:rowOff>
    </xdr:to>
    <xdr:sp>
      <xdr:nvSpPr>
        <xdr:cNvPr id="4" name="AutoShape 201"/>
        <xdr:cNvSpPr>
          <a:spLocks/>
        </xdr:cNvSpPr>
      </xdr:nvSpPr>
      <xdr:spPr>
        <a:xfrm>
          <a:off x="18249900" y="781050"/>
          <a:ext cx="323850" cy="6000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171450</xdr:rowOff>
    </xdr:from>
    <xdr:to>
      <xdr:col>8</xdr:col>
      <xdr:colOff>28575</xdr:colOff>
      <xdr:row>5</xdr:row>
      <xdr:rowOff>342900</xdr:rowOff>
    </xdr:to>
    <xdr:sp>
      <xdr:nvSpPr>
        <xdr:cNvPr id="5" name="AutoShape 202"/>
        <xdr:cNvSpPr>
          <a:spLocks/>
        </xdr:cNvSpPr>
      </xdr:nvSpPr>
      <xdr:spPr>
        <a:xfrm>
          <a:off x="5343525" y="1019175"/>
          <a:ext cx="266700" cy="571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4</xdr:row>
      <xdr:rowOff>123825</xdr:rowOff>
    </xdr:from>
    <xdr:to>
      <xdr:col>9</xdr:col>
      <xdr:colOff>457200</xdr:colOff>
      <xdr:row>5</xdr:row>
      <xdr:rowOff>276225</xdr:rowOff>
    </xdr:to>
    <xdr:sp>
      <xdr:nvSpPr>
        <xdr:cNvPr id="6" name="AutoShape 203"/>
        <xdr:cNvSpPr>
          <a:spLocks/>
        </xdr:cNvSpPr>
      </xdr:nvSpPr>
      <xdr:spPr>
        <a:xfrm>
          <a:off x="6381750" y="971550"/>
          <a:ext cx="304800" cy="5524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20</xdr:col>
      <xdr:colOff>209550</xdr:colOff>
      <xdr:row>4</xdr:row>
      <xdr:rowOff>57150</xdr:rowOff>
    </xdr:from>
    <xdr:to>
      <xdr:col>20</xdr:col>
      <xdr:colOff>514350</xdr:colOff>
      <xdr:row>6</xdr:row>
      <xdr:rowOff>28575</xdr:rowOff>
    </xdr:to>
    <xdr:sp>
      <xdr:nvSpPr>
        <xdr:cNvPr id="7" name="AutoShape 204"/>
        <xdr:cNvSpPr>
          <a:spLocks/>
        </xdr:cNvSpPr>
      </xdr:nvSpPr>
      <xdr:spPr>
        <a:xfrm>
          <a:off x="14868525" y="904875"/>
          <a:ext cx="304800" cy="742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209550</xdr:colOff>
      <xdr:row>1</xdr:row>
      <xdr:rowOff>76200</xdr:rowOff>
    </xdr:from>
    <xdr:to>
      <xdr:col>47</xdr:col>
      <xdr:colOff>514350</xdr:colOff>
      <xdr:row>6</xdr:row>
      <xdr:rowOff>47625</xdr:rowOff>
    </xdr:to>
    <xdr:sp>
      <xdr:nvSpPr>
        <xdr:cNvPr id="8" name="AutoShape 205"/>
        <xdr:cNvSpPr>
          <a:spLocks/>
        </xdr:cNvSpPr>
      </xdr:nvSpPr>
      <xdr:spPr>
        <a:xfrm>
          <a:off x="34118550" y="33337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35</xdr:col>
      <xdr:colOff>200025</xdr:colOff>
      <xdr:row>1</xdr:row>
      <xdr:rowOff>85725</xdr:rowOff>
    </xdr:from>
    <xdr:to>
      <xdr:col>35</xdr:col>
      <xdr:colOff>504825</xdr:colOff>
      <xdr:row>6</xdr:row>
      <xdr:rowOff>57150</xdr:rowOff>
    </xdr:to>
    <xdr:sp>
      <xdr:nvSpPr>
        <xdr:cNvPr id="9" name="AutoShape 206"/>
        <xdr:cNvSpPr>
          <a:spLocks/>
        </xdr:cNvSpPr>
      </xdr:nvSpPr>
      <xdr:spPr>
        <a:xfrm>
          <a:off x="26117550" y="342900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43</xdr:col>
      <xdr:colOff>428625</xdr:colOff>
      <xdr:row>1</xdr:row>
      <xdr:rowOff>95250</xdr:rowOff>
    </xdr:from>
    <xdr:to>
      <xdr:col>44</xdr:col>
      <xdr:colOff>19050</xdr:colOff>
      <xdr:row>6</xdr:row>
      <xdr:rowOff>66675</xdr:rowOff>
    </xdr:to>
    <xdr:sp>
      <xdr:nvSpPr>
        <xdr:cNvPr id="10" name="AutoShape 207"/>
        <xdr:cNvSpPr>
          <a:spLocks/>
        </xdr:cNvSpPr>
      </xdr:nvSpPr>
      <xdr:spPr>
        <a:xfrm>
          <a:off x="31527750" y="352425"/>
          <a:ext cx="304800" cy="13335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31</xdr:col>
      <xdr:colOff>238125</xdr:colOff>
      <xdr:row>4</xdr:row>
      <xdr:rowOff>123825</xdr:rowOff>
    </xdr:from>
    <xdr:to>
      <xdr:col>31</xdr:col>
      <xdr:colOff>542925</xdr:colOff>
      <xdr:row>5</xdr:row>
      <xdr:rowOff>361950</xdr:rowOff>
    </xdr:to>
    <xdr:sp>
      <xdr:nvSpPr>
        <xdr:cNvPr id="11" name="AutoShape 208"/>
        <xdr:cNvSpPr>
          <a:spLocks/>
        </xdr:cNvSpPr>
      </xdr:nvSpPr>
      <xdr:spPr>
        <a:xfrm>
          <a:off x="23488650" y="971550"/>
          <a:ext cx="304800" cy="6381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266700</xdr:colOff>
      <xdr:row>1</xdr:row>
      <xdr:rowOff>123825</xdr:rowOff>
    </xdr:from>
    <xdr:to>
      <xdr:col>39</xdr:col>
      <xdr:colOff>571500</xdr:colOff>
      <xdr:row>5</xdr:row>
      <xdr:rowOff>57150</xdr:rowOff>
    </xdr:to>
    <xdr:sp>
      <xdr:nvSpPr>
        <xdr:cNvPr id="12" name="AutoShape 209"/>
        <xdr:cNvSpPr>
          <a:spLocks/>
        </xdr:cNvSpPr>
      </xdr:nvSpPr>
      <xdr:spPr>
        <a:xfrm>
          <a:off x="28784550" y="381000"/>
          <a:ext cx="304800" cy="9239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514350</xdr:colOff>
      <xdr:row>4</xdr:row>
      <xdr:rowOff>133350</xdr:rowOff>
    </xdr:from>
    <xdr:to>
      <xdr:col>29</xdr:col>
      <xdr:colOff>771525</xdr:colOff>
      <xdr:row>6</xdr:row>
      <xdr:rowOff>28575</xdr:rowOff>
    </xdr:to>
    <xdr:sp>
      <xdr:nvSpPr>
        <xdr:cNvPr id="13" name="AutoShape 211"/>
        <xdr:cNvSpPr>
          <a:spLocks/>
        </xdr:cNvSpPr>
      </xdr:nvSpPr>
      <xdr:spPr>
        <a:xfrm>
          <a:off x="22221825" y="981075"/>
          <a:ext cx="257175" cy="6667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51</xdr:col>
      <xdr:colOff>200025</xdr:colOff>
      <xdr:row>2</xdr:row>
      <xdr:rowOff>95250</xdr:rowOff>
    </xdr:from>
    <xdr:to>
      <xdr:col>51</xdr:col>
      <xdr:colOff>504825</xdr:colOff>
      <xdr:row>6</xdr:row>
      <xdr:rowOff>28575</xdr:rowOff>
    </xdr:to>
    <xdr:sp>
      <xdr:nvSpPr>
        <xdr:cNvPr id="14" name="AutoShape 219"/>
        <xdr:cNvSpPr>
          <a:spLocks/>
        </xdr:cNvSpPr>
      </xdr:nvSpPr>
      <xdr:spPr>
        <a:xfrm>
          <a:off x="37004625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52</xdr:col>
      <xdr:colOff>200025</xdr:colOff>
      <xdr:row>2</xdr:row>
      <xdr:rowOff>38100</xdr:rowOff>
    </xdr:from>
    <xdr:to>
      <xdr:col>52</xdr:col>
      <xdr:colOff>504825</xdr:colOff>
      <xdr:row>6</xdr:row>
      <xdr:rowOff>9525</xdr:rowOff>
    </xdr:to>
    <xdr:sp>
      <xdr:nvSpPr>
        <xdr:cNvPr id="15" name="AutoShape 220"/>
        <xdr:cNvSpPr>
          <a:spLocks/>
        </xdr:cNvSpPr>
      </xdr:nvSpPr>
      <xdr:spPr>
        <a:xfrm>
          <a:off x="37852350" y="466725"/>
          <a:ext cx="304800" cy="11620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200025</xdr:colOff>
      <xdr:row>2</xdr:row>
      <xdr:rowOff>76200</xdr:rowOff>
    </xdr:from>
    <xdr:to>
      <xdr:col>53</xdr:col>
      <xdr:colOff>504825</xdr:colOff>
      <xdr:row>5</xdr:row>
      <xdr:rowOff>361950</xdr:rowOff>
    </xdr:to>
    <xdr:sp>
      <xdr:nvSpPr>
        <xdr:cNvPr id="16" name="AutoShape 221"/>
        <xdr:cNvSpPr>
          <a:spLocks/>
        </xdr:cNvSpPr>
      </xdr:nvSpPr>
      <xdr:spPr>
        <a:xfrm>
          <a:off x="3868102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200025</xdr:colOff>
      <xdr:row>2</xdr:row>
      <xdr:rowOff>76200</xdr:rowOff>
    </xdr:from>
    <xdr:to>
      <xdr:col>54</xdr:col>
      <xdr:colOff>504825</xdr:colOff>
      <xdr:row>5</xdr:row>
      <xdr:rowOff>361950</xdr:rowOff>
    </xdr:to>
    <xdr:sp>
      <xdr:nvSpPr>
        <xdr:cNvPr id="17" name="AutoShape 222"/>
        <xdr:cNvSpPr>
          <a:spLocks/>
        </xdr:cNvSpPr>
      </xdr:nvSpPr>
      <xdr:spPr>
        <a:xfrm>
          <a:off x="39585900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55</xdr:col>
      <xdr:colOff>200025</xdr:colOff>
      <xdr:row>2</xdr:row>
      <xdr:rowOff>76200</xdr:rowOff>
    </xdr:from>
    <xdr:to>
      <xdr:col>55</xdr:col>
      <xdr:colOff>504825</xdr:colOff>
      <xdr:row>5</xdr:row>
      <xdr:rowOff>361950</xdr:rowOff>
    </xdr:to>
    <xdr:sp>
      <xdr:nvSpPr>
        <xdr:cNvPr id="18" name="AutoShape 223"/>
        <xdr:cNvSpPr>
          <a:spLocks/>
        </xdr:cNvSpPr>
      </xdr:nvSpPr>
      <xdr:spPr>
        <a:xfrm>
          <a:off x="40490775" y="504825"/>
          <a:ext cx="304800" cy="1104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200025</xdr:colOff>
      <xdr:row>2</xdr:row>
      <xdr:rowOff>95250</xdr:rowOff>
    </xdr:from>
    <xdr:to>
      <xdr:col>56</xdr:col>
      <xdr:colOff>504825</xdr:colOff>
      <xdr:row>6</xdr:row>
      <xdr:rowOff>38100</xdr:rowOff>
    </xdr:to>
    <xdr:sp>
      <xdr:nvSpPr>
        <xdr:cNvPr id="19" name="AutoShape 224"/>
        <xdr:cNvSpPr>
          <a:spLocks/>
        </xdr:cNvSpPr>
      </xdr:nvSpPr>
      <xdr:spPr>
        <a:xfrm>
          <a:off x="4134802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200025</xdr:colOff>
      <xdr:row>2</xdr:row>
      <xdr:rowOff>104775</xdr:rowOff>
    </xdr:from>
    <xdr:to>
      <xdr:col>57</xdr:col>
      <xdr:colOff>504825</xdr:colOff>
      <xdr:row>6</xdr:row>
      <xdr:rowOff>57150</xdr:rowOff>
    </xdr:to>
    <xdr:sp>
      <xdr:nvSpPr>
        <xdr:cNvPr id="20" name="AutoShape 225"/>
        <xdr:cNvSpPr>
          <a:spLocks/>
        </xdr:cNvSpPr>
      </xdr:nvSpPr>
      <xdr:spPr>
        <a:xfrm>
          <a:off x="42129075" y="533400"/>
          <a:ext cx="304800" cy="11430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58</xdr:col>
      <xdr:colOff>295275</xdr:colOff>
      <xdr:row>2</xdr:row>
      <xdr:rowOff>95250</xdr:rowOff>
    </xdr:from>
    <xdr:to>
      <xdr:col>58</xdr:col>
      <xdr:colOff>600075</xdr:colOff>
      <xdr:row>5</xdr:row>
      <xdr:rowOff>0</xdr:rowOff>
    </xdr:to>
    <xdr:sp>
      <xdr:nvSpPr>
        <xdr:cNvPr id="21" name="AutoShape 226"/>
        <xdr:cNvSpPr>
          <a:spLocks/>
        </xdr:cNvSpPr>
      </xdr:nvSpPr>
      <xdr:spPr>
        <a:xfrm>
          <a:off x="43005375" y="523875"/>
          <a:ext cx="304800" cy="72390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59</xdr:col>
      <xdr:colOff>485775</xdr:colOff>
      <xdr:row>2</xdr:row>
      <xdr:rowOff>95250</xdr:rowOff>
    </xdr:from>
    <xdr:to>
      <xdr:col>59</xdr:col>
      <xdr:colOff>790575</xdr:colOff>
      <xdr:row>5</xdr:row>
      <xdr:rowOff>361950</xdr:rowOff>
    </xdr:to>
    <xdr:sp>
      <xdr:nvSpPr>
        <xdr:cNvPr id="22" name="AutoShape 227"/>
        <xdr:cNvSpPr>
          <a:spLocks/>
        </xdr:cNvSpPr>
      </xdr:nvSpPr>
      <xdr:spPr>
        <a:xfrm>
          <a:off x="43976925" y="523875"/>
          <a:ext cx="304800" cy="10858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60</xdr:col>
      <xdr:colOff>180975</xdr:colOff>
      <xdr:row>2</xdr:row>
      <xdr:rowOff>85725</xdr:rowOff>
    </xdr:from>
    <xdr:to>
      <xdr:col>60</xdr:col>
      <xdr:colOff>485775</xdr:colOff>
      <xdr:row>6</xdr:row>
      <xdr:rowOff>28575</xdr:rowOff>
    </xdr:to>
    <xdr:sp>
      <xdr:nvSpPr>
        <xdr:cNvPr id="23" name="AutoShape 228"/>
        <xdr:cNvSpPr>
          <a:spLocks/>
        </xdr:cNvSpPr>
      </xdr:nvSpPr>
      <xdr:spPr>
        <a:xfrm>
          <a:off x="44491275" y="514350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190500</xdr:colOff>
      <xdr:row>2</xdr:row>
      <xdr:rowOff>95250</xdr:rowOff>
    </xdr:from>
    <xdr:to>
      <xdr:col>61</xdr:col>
      <xdr:colOff>495300</xdr:colOff>
      <xdr:row>6</xdr:row>
      <xdr:rowOff>28575</xdr:rowOff>
    </xdr:to>
    <xdr:sp>
      <xdr:nvSpPr>
        <xdr:cNvPr id="24" name="AutoShape 229"/>
        <xdr:cNvSpPr>
          <a:spLocks/>
        </xdr:cNvSpPr>
      </xdr:nvSpPr>
      <xdr:spPr>
        <a:xfrm>
          <a:off x="4535805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200025</xdr:colOff>
      <xdr:row>2</xdr:row>
      <xdr:rowOff>95250</xdr:rowOff>
    </xdr:from>
    <xdr:to>
      <xdr:col>62</xdr:col>
      <xdr:colOff>504825</xdr:colOff>
      <xdr:row>6</xdr:row>
      <xdr:rowOff>57150</xdr:rowOff>
    </xdr:to>
    <xdr:sp>
      <xdr:nvSpPr>
        <xdr:cNvPr id="25" name="AutoShape 230"/>
        <xdr:cNvSpPr>
          <a:spLocks/>
        </xdr:cNvSpPr>
      </xdr:nvSpPr>
      <xdr:spPr>
        <a:xfrm>
          <a:off x="46272450" y="523875"/>
          <a:ext cx="304800" cy="11525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200025</xdr:colOff>
      <xdr:row>2</xdr:row>
      <xdr:rowOff>95250</xdr:rowOff>
    </xdr:from>
    <xdr:to>
      <xdr:col>63</xdr:col>
      <xdr:colOff>504825</xdr:colOff>
      <xdr:row>6</xdr:row>
      <xdr:rowOff>28575</xdr:rowOff>
    </xdr:to>
    <xdr:sp>
      <xdr:nvSpPr>
        <xdr:cNvPr id="26" name="AutoShape 231"/>
        <xdr:cNvSpPr>
          <a:spLocks/>
        </xdr:cNvSpPr>
      </xdr:nvSpPr>
      <xdr:spPr>
        <a:xfrm>
          <a:off x="47091600" y="523875"/>
          <a:ext cx="304800" cy="1123950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171450</xdr:colOff>
      <xdr:row>2</xdr:row>
      <xdr:rowOff>95250</xdr:rowOff>
    </xdr:from>
    <xdr:to>
      <xdr:col>64</xdr:col>
      <xdr:colOff>476250</xdr:colOff>
      <xdr:row>6</xdr:row>
      <xdr:rowOff>38100</xdr:rowOff>
    </xdr:to>
    <xdr:sp>
      <xdr:nvSpPr>
        <xdr:cNvPr id="27" name="AutoShape 232"/>
        <xdr:cNvSpPr>
          <a:spLocks/>
        </xdr:cNvSpPr>
      </xdr:nvSpPr>
      <xdr:spPr>
        <a:xfrm>
          <a:off x="47882175" y="523875"/>
          <a:ext cx="304800" cy="11334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</xdr:row>
      <xdr:rowOff>104775</xdr:rowOff>
    </xdr:from>
    <xdr:to>
      <xdr:col>65</xdr:col>
      <xdr:colOff>523875</xdr:colOff>
      <xdr:row>6</xdr:row>
      <xdr:rowOff>28575</xdr:rowOff>
    </xdr:to>
    <xdr:sp>
      <xdr:nvSpPr>
        <xdr:cNvPr id="28" name="AutoShape 233"/>
        <xdr:cNvSpPr>
          <a:spLocks/>
        </xdr:cNvSpPr>
      </xdr:nvSpPr>
      <xdr:spPr>
        <a:xfrm>
          <a:off x="48806100" y="533400"/>
          <a:ext cx="304800" cy="111442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15</xdr:col>
      <xdr:colOff>171450</xdr:colOff>
      <xdr:row>3</xdr:row>
      <xdr:rowOff>47625</xdr:rowOff>
    </xdr:from>
    <xdr:to>
      <xdr:col>15</xdr:col>
      <xdr:colOff>476250</xdr:colOff>
      <xdr:row>4</xdr:row>
      <xdr:rowOff>361950</xdr:rowOff>
    </xdr:to>
    <xdr:sp>
      <xdr:nvSpPr>
        <xdr:cNvPr id="29" name="AutoShape 235"/>
        <xdr:cNvSpPr>
          <a:spLocks/>
        </xdr:cNvSpPr>
      </xdr:nvSpPr>
      <xdr:spPr>
        <a:xfrm rot="10800000">
          <a:off x="111823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47625</xdr:rowOff>
    </xdr:from>
    <xdr:to>
      <xdr:col>16</xdr:col>
      <xdr:colOff>476250</xdr:colOff>
      <xdr:row>4</xdr:row>
      <xdr:rowOff>361950</xdr:rowOff>
    </xdr:to>
    <xdr:sp>
      <xdr:nvSpPr>
        <xdr:cNvPr id="30" name="AutoShape 236"/>
        <xdr:cNvSpPr>
          <a:spLocks/>
        </xdr:cNvSpPr>
      </xdr:nvSpPr>
      <xdr:spPr>
        <a:xfrm rot="10800000">
          <a:off x="1183005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180975</xdr:colOff>
      <xdr:row>3</xdr:row>
      <xdr:rowOff>47625</xdr:rowOff>
    </xdr:from>
    <xdr:to>
      <xdr:col>17</xdr:col>
      <xdr:colOff>485775</xdr:colOff>
      <xdr:row>4</xdr:row>
      <xdr:rowOff>361950</xdr:rowOff>
    </xdr:to>
    <xdr:sp>
      <xdr:nvSpPr>
        <xdr:cNvPr id="31" name="AutoShape 237"/>
        <xdr:cNvSpPr>
          <a:spLocks/>
        </xdr:cNvSpPr>
      </xdr:nvSpPr>
      <xdr:spPr>
        <a:xfrm rot="10800000">
          <a:off x="12496800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38100</xdr:rowOff>
    </xdr:from>
    <xdr:to>
      <xdr:col>18</xdr:col>
      <xdr:colOff>438150</xdr:colOff>
      <xdr:row>4</xdr:row>
      <xdr:rowOff>352425</xdr:rowOff>
    </xdr:to>
    <xdr:sp>
      <xdr:nvSpPr>
        <xdr:cNvPr id="32" name="AutoShape 238"/>
        <xdr:cNvSpPr>
          <a:spLocks/>
        </xdr:cNvSpPr>
      </xdr:nvSpPr>
      <xdr:spPr>
        <a:xfrm rot="10800000">
          <a:off x="13220700" y="638175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171450</xdr:colOff>
      <xdr:row>3</xdr:row>
      <xdr:rowOff>47625</xdr:rowOff>
    </xdr:from>
    <xdr:to>
      <xdr:col>19</xdr:col>
      <xdr:colOff>476250</xdr:colOff>
      <xdr:row>4</xdr:row>
      <xdr:rowOff>361950</xdr:rowOff>
    </xdr:to>
    <xdr:sp>
      <xdr:nvSpPr>
        <xdr:cNvPr id="33" name="AutoShape 239"/>
        <xdr:cNvSpPr>
          <a:spLocks/>
        </xdr:cNvSpPr>
      </xdr:nvSpPr>
      <xdr:spPr>
        <a:xfrm rot="10800000">
          <a:off x="14087475" y="647700"/>
          <a:ext cx="304800" cy="561975"/>
        </a:xfrm>
        <a:prstGeom prst="down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5</xdr:col>
      <xdr:colOff>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9525" y="5619750"/>
        <a:ext cx="597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29</xdr:row>
      <xdr:rowOff>38100</xdr:rowOff>
    </xdr:from>
    <xdr:to>
      <xdr:col>18</xdr:col>
      <xdr:colOff>38100</xdr:colOff>
      <xdr:row>56</xdr:row>
      <xdr:rowOff>66675</xdr:rowOff>
    </xdr:to>
    <xdr:graphicFrame>
      <xdr:nvGraphicFramePr>
        <xdr:cNvPr id="2" name="Chart 5"/>
        <xdr:cNvGraphicFramePr/>
      </xdr:nvGraphicFramePr>
      <xdr:xfrm>
        <a:off x="7858125" y="5619750"/>
        <a:ext cx="67246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16</xdr:row>
      <xdr:rowOff>342900</xdr:rowOff>
    </xdr:from>
    <xdr:to>
      <xdr:col>3</xdr:col>
      <xdr:colOff>866775</xdr:colOff>
      <xdr:row>18</xdr:row>
      <xdr:rowOff>152400</xdr:rowOff>
    </xdr:to>
    <xdr:sp>
      <xdr:nvSpPr>
        <xdr:cNvPr id="1" name="AutoShape 1"/>
        <xdr:cNvSpPr>
          <a:spLocks/>
        </xdr:cNvSpPr>
      </xdr:nvSpPr>
      <xdr:spPr>
        <a:xfrm rot="16200000">
          <a:off x="2609850" y="4305300"/>
          <a:ext cx="266700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428625</xdr:colOff>
      <xdr:row>16</xdr:row>
      <xdr:rowOff>361950</xdr:rowOff>
    </xdr:from>
    <xdr:to>
      <xdr:col>4</xdr:col>
      <xdr:colOff>742950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419475" y="4324350"/>
          <a:ext cx="31432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371475</xdr:rowOff>
    </xdr:from>
    <xdr:to>
      <xdr:col>5</xdr:col>
      <xdr:colOff>819150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333875" y="4333875"/>
          <a:ext cx="314325" cy="36195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361950</xdr:rowOff>
    </xdr:from>
    <xdr:to>
      <xdr:col>6</xdr:col>
      <xdr:colOff>771525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5448300" y="4324350"/>
          <a:ext cx="295275" cy="371475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552450</xdr:colOff>
      <xdr:row>16</xdr:row>
      <xdr:rowOff>342900</xdr:rowOff>
    </xdr:from>
    <xdr:to>
      <xdr:col>7</xdr:col>
      <xdr:colOff>857250</xdr:colOff>
      <xdr:row>18</xdr:row>
      <xdr:rowOff>161925</xdr:rowOff>
    </xdr:to>
    <xdr:sp>
      <xdr:nvSpPr>
        <xdr:cNvPr id="5" name="AutoShape 5"/>
        <xdr:cNvSpPr>
          <a:spLocks/>
        </xdr:cNvSpPr>
      </xdr:nvSpPr>
      <xdr:spPr>
        <a:xfrm rot="16200000">
          <a:off x="6515100" y="4305300"/>
          <a:ext cx="304800" cy="381000"/>
        </a:xfrm>
        <a:prstGeom prst="rightArrow">
          <a:avLst/>
        </a:prstGeom>
        <a:gradFill rotWithShape="1">
          <a:gsLst>
            <a:gs pos="0">
              <a:srgbClr val="6711FF"/>
            </a:gs>
            <a:gs pos="100000">
              <a:srgbClr val="FFFF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tabSelected="1" workbookViewId="0" topLeftCell="A1">
      <selection activeCell="G35" sqref="G35"/>
    </sheetView>
  </sheetViews>
  <sheetFormatPr defaultColWidth="11.00390625" defaultRowHeight="12.75"/>
  <cols>
    <col min="1" max="1" width="22.375" style="0" customWidth="1"/>
  </cols>
  <sheetData>
    <row r="1" spans="1:9" ht="21.75" customHeight="1">
      <c r="A1" s="889" t="s">
        <v>401</v>
      </c>
      <c r="B1" s="890"/>
      <c r="C1" s="890"/>
      <c r="D1" s="890"/>
      <c r="E1" s="890"/>
      <c r="F1" s="890"/>
      <c r="G1" s="890"/>
      <c r="H1" s="890"/>
      <c r="I1" s="890"/>
    </row>
    <row r="2" spans="1:9" ht="19.5" customHeight="1">
      <c r="A2" s="891" t="s">
        <v>416</v>
      </c>
      <c r="B2" s="890"/>
      <c r="C2" s="890"/>
      <c r="D2" s="890"/>
      <c r="E2" s="890"/>
      <c r="F2" s="890"/>
      <c r="G2" s="890"/>
      <c r="H2" s="890"/>
      <c r="I2" s="890"/>
    </row>
    <row r="3" spans="1:9" ht="10.5" customHeight="1">
      <c r="A3" s="890"/>
      <c r="B3" s="890"/>
      <c r="C3" s="890"/>
      <c r="D3" s="890"/>
      <c r="E3" s="890"/>
      <c r="F3" s="890"/>
      <c r="G3" s="890"/>
      <c r="H3" s="890"/>
      <c r="I3" s="890"/>
    </row>
    <row r="4" spans="1:9" ht="13.5" customHeight="1">
      <c r="A4" s="892" t="s">
        <v>402</v>
      </c>
      <c r="B4" s="890"/>
      <c r="C4" s="890"/>
      <c r="D4" s="890"/>
      <c r="E4" s="890"/>
      <c r="F4" s="890"/>
      <c r="G4" s="890"/>
      <c r="H4" s="890"/>
      <c r="I4" s="890"/>
    </row>
    <row r="5" spans="1:9" s="888" customFormat="1" ht="19.5" customHeight="1">
      <c r="A5" s="893" t="s">
        <v>403</v>
      </c>
      <c r="B5" s="894"/>
      <c r="C5" s="894"/>
      <c r="D5" s="894"/>
      <c r="E5" s="894"/>
      <c r="F5" s="894"/>
      <c r="G5" s="894"/>
      <c r="H5" s="894"/>
      <c r="I5" s="894"/>
    </row>
    <row r="6" spans="1:9" ht="14.25" customHeight="1">
      <c r="A6" s="895" t="s">
        <v>417</v>
      </c>
      <c r="B6" s="890"/>
      <c r="C6" s="890"/>
      <c r="D6" s="890"/>
      <c r="E6" s="890"/>
      <c r="F6" s="890"/>
      <c r="G6" s="890"/>
      <c r="H6" s="890"/>
      <c r="I6" s="890"/>
    </row>
    <row r="7" spans="1:9" ht="14.25" customHeight="1">
      <c r="A7" s="896" t="s">
        <v>418</v>
      </c>
      <c r="B7" s="890"/>
      <c r="C7" s="890"/>
      <c r="D7" s="890"/>
      <c r="E7" s="890"/>
      <c r="F7" s="890"/>
      <c r="G7" s="890"/>
      <c r="H7" s="890"/>
      <c r="I7" s="890"/>
    </row>
    <row r="8" spans="1:9" ht="14.25" customHeight="1">
      <c r="A8" s="897" t="s">
        <v>419</v>
      </c>
      <c r="B8" s="890"/>
      <c r="C8" s="890"/>
      <c r="D8" s="890"/>
      <c r="E8" s="890"/>
      <c r="F8" s="890"/>
      <c r="G8" s="890"/>
      <c r="H8" s="890"/>
      <c r="I8" s="890"/>
    </row>
    <row r="9" spans="1:9" ht="14.25" customHeight="1">
      <c r="A9" s="897" t="s">
        <v>420</v>
      </c>
      <c r="B9" s="890"/>
      <c r="C9" s="890"/>
      <c r="D9" s="890"/>
      <c r="E9" s="890"/>
      <c r="F9" s="890"/>
      <c r="G9" s="890"/>
      <c r="H9" s="890"/>
      <c r="I9" s="890"/>
    </row>
    <row r="10" spans="1:9" ht="11.25" customHeight="1">
      <c r="A10" s="897"/>
      <c r="B10" s="890"/>
      <c r="C10" s="890"/>
      <c r="D10" s="890"/>
      <c r="E10" s="890"/>
      <c r="F10" s="890"/>
      <c r="G10" s="890"/>
      <c r="H10" s="890"/>
      <c r="I10" s="890"/>
    </row>
    <row r="11" spans="1:9" ht="14.25" customHeight="1">
      <c r="A11" s="893" t="s">
        <v>428</v>
      </c>
      <c r="B11" s="890"/>
      <c r="C11" s="890"/>
      <c r="D11" s="890"/>
      <c r="E11" s="890"/>
      <c r="F11" s="890"/>
      <c r="G11" s="890"/>
      <c r="H11" s="890"/>
      <c r="I11" s="890"/>
    </row>
    <row r="12" spans="1:9" ht="19.5" customHeight="1">
      <c r="A12" s="893" t="s">
        <v>429</v>
      </c>
      <c r="B12" s="890"/>
      <c r="C12" s="890"/>
      <c r="D12" s="890"/>
      <c r="E12" s="890"/>
      <c r="F12" s="890"/>
      <c r="G12" s="890"/>
      <c r="H12" s="890"/>
      <c r="I12" s="890"/>
    </row>
    <row r="13" spans="1:9" ht="19.5" customHeight="1">
      <c r="A13" s="893" t="s">
        <v>430</v>
      </c>
      <c r="B13" s="890"/>
      <c r="C13" s="890"/>
      <c r="D13" s="890"/>
      <c r="E13" s="890"/>
      <c r="F13" s="890"/>
      <c r="G13" s="890"/>
      <c r="H13" s="890"/>
      <c r="I13" s="890"/>
    </row>
    <row r="14" spans="1:9" ht="11.25" customHeight="1">
      <c r="A14" s="897"/>
      <c r="B14" s="890"/>
      <c r="C14" s="890"/>
      <c r="D14" s="890"/>
      <c r="E14" s="890"/>
      <c r="F14" s="890"/>
      <c r="G14" s="890"/>
      <c r="H14" s="890"/>
      <c r="I14" s="890"/>
    </row>
    <row r="15" spans="1:9" ht="14.25" customHeight="1">
      <c r="A15" s="898" t="s">
        <v>422</v>
      </c>
      <c r="B15" s="899"/>
      <c r="C15" s="899" t="s">
        <v>421</v>
      </c>
      <c r="D15" s="890"/>
      <c r="E15" s="890"/>
      <c r="F15" s="890"/>
      <c r="G15" s="890"/>
      <c r="H15" s="890"/>
      <c r="I15" s="890"/>
    </row>
    <row r="16" spans="1:9" ht="12.75" customHeight="1">
      <c r="A16" s="898" t="s">
        <v>423</v>
      </c>
      <c r="B16" s="899"/>
      <c r="C16" s="899"/>
      <c r="D16" s="890"/>
      <c r="E16" s="890"/>
      <c r="F16" s="890"/>
      <c r="G16" s="890"/>
      <c r="H16" s="890"/>
      <c r="I16" s="890"/>
    </row>
    <row r="17" spans="1:9" ht="12" customHeight="1">
      <c r="A17" s="900" t="s">
        <v>404</v>
      </c>
      <c r="B17" s="899"/>
      <c r="C17" s="901" t="s">
        <v>405</v>
      </c>
      <c r="D17" s="890"/>
      <c r="E17" s="890"/>
      <c r="F17" s="890"/>
      <c r="G17" s="890"/>
      <c r="H17" s="890"/>
      <c r="I17" s="890"/>
    </row>
    <row r="18" spans="1:9" ht="12" customHeight="1">
      <c r="A18" s="900" t="s">
        <v>406</v>
      </c>
      <c r="B18" s="899"/>
      <c r="C18" s="901" t="s">
        <v>405</v>
      </c>
      <c r="D18" s="890"/>
      <c r="E18" s="890"/>
      <c r="F18" s="890"/>
      <c r="G18" s="890"/>
      <c r="H18" s="890"/>
      <c r="I18" s="890"/>
    </row>
    <row r="19" spans="1:9" ht="12" customHeight="1">
      <c r="A19" s="900" t="s">
        <v>407</v>
      </c>
      <c r="B19" s="899"/>
      <c r="C19" s="901" t="s">
        <v>405</v>
      </c>
      <c r="D19" s="890"/>
      <c r="E19" s="890"/>
      <c r="F19" s="890"/>
      <c r="G19" s="890"/>
      <c r="H19" s="890"/>
      <c r="I19" s="890"/>
    </row>
    <row r="20" spans="1:9" ht="12" customHeight="1">
      <c r="A20" s="900" t="s">
        <v>408</v>
      </c>
      <c r="B20" s="899"/>
      <c r="C20" s="901" t="s">
        <v>405</v>
      </c>
      <c r="D20" s="890"/>
      <c r="E20" s="890"/>
      <c r="F20" s="890"/>
      <c r="G20" s="890"/>
      <c r="H20" s="890"/>
      <c r="I20" s="890"/>
    </row>
    <row r="21" spans="1:9" ht="12" customHeight="1">
      <c r="A21" s="900" t="s">
        <v>409</v>
      </c>
      <c r="B21" s="899"/>
      <c r="C21" s="901" t="s">
        <v>410</v>
      </c>
      <c r="D21" s="890"/>
      <c r="E21" s="890"/>
      <c r="F21" s="890"/>
      <c r="G21" s="890"/>
      <c r="H21" s="890"/>
      <c r="I21" s="890"/>
    </row>
    <row r="22" spans="1:9" ht="12" customHeight="1">
      <c r="A22" s="900" t="s">
        <v>411</v>
      </c>
      <c r="B22" s="899"/>
      <c r="C22" s="901" t="s">
        <v>412</v>
      </c>
      <c r="D22" s="890"/>
      <c r="E22" s="890"/>
      <c r="F22" s="890"/>
      <c r="G22" s="890"/>
      <c r="H22" s="890"/>
      <c r="I22" s="890"/>
    </row>
    <row r="23" spans="1:9" ht="12" customHeight="1">
      <c r="A23" s="901" t="s">
        <v>413</v>
      </c>
      <c r="B23" s="899"/>
      <c r="C23" s="901" t="s">
        <v>410</v>
      </c>
      <c r="D23" s="890"/>
      <c r="E23" s="890"/>
      <c r="F23" s="890"/>
      <c r="G23" s="890"/>
      <c r="H23" s="890"/>
      <c r="I23" s="890"/>
    </row>
    <row r="24" spans="1:9" ht="12" customHeight="1">
      <c r="A24" s="901" t="s">
        <v>414</v>
      </c>
      <c r="B24" s="899"/>
      <c r="C24" s="901" t="s">
        <v>410</v>
      </c>
      <c r="D24" s="890"/>
      <c r="E24" s="890"/>
      <c r="F24" s="890"/>
      <c r="G24" s="890"/>
      <c r="H24" s="890"/>
      <c r="I24" s="890"/>
    </row>
    <row r="25" spans="1:9" ht="12" customHeight="1">
      <c r="A25" s="901" t="s">
        <v>427</v>
      </c>
      <c r="B25" s="899"/>
      <c r="C25" s="901"/>
      <c r="D25" s="890"/>
      <c r="E25" s="890"/>
      <c r="F25" s="890"/>
      <c r="G25" s="890"/>
      <c r="H25" s="890"/>
      <c r="I25" s="890"/>
    </row>
    <row r="26" spans="1:9" ht="11.25" customHeight="1">
      <c r="A26" s="901"/>
      <c r="B26" s="899"/>
      <c r="C26" s="899"/>
      <c r="D26" s="890"/>
      <c r="E26" s="890"/>
      <c r="F26" s="890"/>
      <c r="G26" s="890"/>
      <c r="H26" s="890"/>
      <c r="I26" s="890"/>
    </row>
    <row r="27" spans="1:9" ht="12.75">
      <c r="A27" s="901" t="s">
        <v>425</v>
      </c>
      <c r="B27" s="899"/>
      <c r="C27" s="899"/>
      <c r="D27" s="890"/>
      <c r="E27" s="890"/>
      <c r="F27" s="890"/>
      <c r="G27" s="890"/>
      <c r="H27" s="890"/>
      <c r="I27" s="890"/>
    </row>
    <row r="28" spans="1:9" ht="12.75">
      <c r="A28" s="901" t="s">
        <v>426</v>
      </c>
      <c r="B28" s="899"/>
      <c r="C28" s="899"/>
      <c r="D28" s="890"/>
      <c r="E28" s="890"/>
      <c r="F28" s="890"/>
      <c r="G28" s="890"/>
      <c r="H28" s="890"/>
      <c r="I28" s="890"/>
    </row>
    <row r="29" spans="1:9" ht="11.25" customHeight="1">
      <c r="A29" s="901"/>
      <c r="B29" s="899"/>
      <c r="C29" s="899"/>
      <c r="D29" s="890"/>
      <c r="E29" s="890"/>
      <c r="F29" s="890"/>
      <c r="G29" s="890"/>
      <c r="H29" s="890"/>
      <c r="I29" s="890"/>
    </row>
    <row r="30" spans="1:9" ht="12.75">
      <c r="A30" s="902" t="s">
        <v>424</v>
      </c>
      <c r="B30" s="899"/>
      <c r="C30" s="899"/>
      <c r="D30" s="890"/>
      <c r="E30" s="890"/>
      <c r="F30" s="890"/>
      <c r="G30" s="890"/>
      <c r="H30" s="890"/>
      <c r="I30" s="890"/>
    </row>
    <row r="31" spans="1:9" ht="11.25" customHeight="1">
      <c r="A31" s="901"/>
      <c r="B31" s="899"/>
      <c r="C31" s="899"/>
      <c r="D31" s="890"/>
      <c r="E31" s="890"/>
      <c r="F31" s="890"/>
      <c r="G31" s="890"/>
      <c r="H31" s="890"/>
      <c r="I31" s="890"/>
    </row>
    <row r="32" spans="1:9" ht="12.75">
      <c r="A32" s="898" t="s">
        <v>415</v>
      </c>
      <c r="B32" s="899"/>
      <c r="C32" s="899"/>
      <c r="D32" s="890"/>
      <c r="E32" s="890"/>
      <c r="F32" s="890"/>
      <c r="G32" s="890"/>
      <c r="H32" s="890"/>
      <c r="I32" s="890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2:M44"/>
  <sheetViews>
    <sheetView zoomScale="90" zoomScaleNormal="90" workbookViewId="0" topLeftCell="A1">
      <selection activeCell="M22" sqref="M22"/>
    </sheetView>
  </sheetViews>
  <sheetFormatPr defaultColWidth="11.00390625" defaultRowHeight="12.75"/>
  <cols>
    <col min="1" max="1" width="22.875" style="13" customWidth="1"/>
    <col min="2" max="2" width="10.00390625" style="13" customWidth="1"/>
    <col min="3" max="3" width="8.25390625" style="13" customWidth="1"/>
    <col min="4" max="4" width="10.00390625" style="13" customWidth="1"/>
    <col min="5" max="5" width="6.125" style="13" customWidth="1"/>
    <col min="6" max="6" width="9.625" style="13" customWidth="1"/>
    <col min="7" max="7" width="5.75390625" style="13" customWidth="1"/>
    <col min="8" max="8" width="10.50390625" style="13" customWidth="1"/>
    <col min="9" max="9" width="6.25390625" style="13" customWidth="1"/>
    <col min="10" max="10" width="10.00390625" style="13" customWidth="1"/>
    <col min="11" max="11" width="6.50390625" style="13" customWidth="1"/>
    <col min="12" max="12" width="7.25390625" style="13" customWidth="1"/>
    <col min="13" max="13" width="19.625" style="13" customWidth="1"/>
    <col min="14" max="16384" width="10.00390625" style="13" customWidth="1"/>
  </cols>
  <sheetData>
    <row r="1" s="8" customFormat="1" ht="13.5" thickBot="1"/>
    <row r="2" spans="1:4" s="8" customFormat="1" ht="16.5" thickBot="1">
      <c r="A2" s="863" t="s">
        <v>265</v>
      </c>
      <c r="B2" s="864"/>
      <c r="C2" s="864"/>
      <c r="D2" s="865"/>
    </row>
    <row r="3" s="8" customFormat="1" ht="13.5" thickBot="1">
      <c r="A3" s="8" t="s">
        <v>61</v>
      </c>
    </row>
    <row r="4" spans="1:11" s="8" customFormat="1" ht="12.75">
      <c r="A4" s="315"/>
      <c r="B4" s="866">
        <v>2008</v>
      </c>
      <c r="C4" s="867"/>
      <c r="D4" s="866">
        <v>2009</v>
      </c>
      <c r="E4" s="867"/>
      <c r="F4" s="866">
        <v>2010</v>
      </c>
      <c r="G4" s="867"/>
      <c r="H4" s="866">
        <v>2011</v>
      </c>
      <c r="I4" s="867"/>
      <c r="J4" s="866">
        <v>2012</v>
      </c>
      <c r="K4" s="867"/>
    </row>
    <row r="5" spans="1:11" s="8" customFormat="1" ht="13.5" thickBot="1">
      <c r="A5" s="316"/>
      <c r="B5" s="317" t="s">
        <v>68</v>
      </c>
      <c r="C5" s="318" t="s">
        <v>62</v>
      </c>
      <c r="D5" s="317" t="s">
        <v>68</v>
      </c>
      <c r="E5" s="318" t="s">
        <v>62</v>
      </c>
      <c r="F5" s="317" t="s">
        <v>68</v>
      </c>
      <c r="G5" s="318" t="s">
        <v>62</v>
      </c>
      <c r="H5" s="317" t="s">
        <v>68</v>
      </c>
      <c r="I5" s="318" t="s">
        <v>62</v>
      </c>
      <c r="J5" s="317" t="s">
        <v>68</v>
      </c>
      <c r="K5" s="318" t="s">
        <v>62</v>
      </c>
    </row>
    <row r="6" spans="1:12" s="8" customFormat="1" ht="13.5" thickBot="1">
      <c r="A6" s="325" t="s">
        <v>259</v>
      </c>
      <c r="B6" s="326">
        <f>SUMIF('Produktion und Absatz'!C9:C48,2008,'Produktion und Absatz'!CD9:CD48)</f>
        <v>475499.12567999994</v>
      </c>
      <c r="C6" s="327">
        <f aca="true" t="shared" si="0" ref="C6:C23">B6/B$6*100</f>
        <v>100</v>
      </c>
      <c r="D6" s="326">
        <f>SUMIF('Produktion und Absatz'!C9:C48,2009,'Produktion und Absatz'!CD9:CD48)</f>
        <v>608067.764816</v>
      </c>
      <c r="E6" s="327">
        <f aca="true" t="shared" si="1" ref="E6:E23">D6/D$6*100</f>
        <v>100</v>
      </c>
      <c r="F6" s="326">
        <f>SUMIF('Produktion und Absatz'!C9:C48,2010,'Produktion und Absatz'!CD9:CD48)</f>
        <v>829252.1847424</v>
      </c>
      <c r="G6" s="327">
        <f aca="true" t="shared" si="2" ref="G6:G23">F6/F$6*100</f>
        <v>100</v>
      </c>
      <c r="H6" s="326">
        <f>SUMIF('Produktion und Absatz'!C9:C48,2011,'Produktion und Absatz'!CD9:CD48)</f>
        <v>1389481.100784</v>
      </c>
      <c r="I6" s="327">
        <f aca="true" t="shared" si="3" ref="I6:I23">H6/H$6*100</f>
        <v>100</v>
      </c>
      <c r="J6" s="326">
        <f>SUMIF('Produktion und Absatz'!C9:C48,2012,'Produktion und Absatz'!CD9:CD48)</f>
        <v>1918813.026</v>
      </c>
      <c r="K6" s="327">
        <f aca="true" t="shared" si="4" ref="K6:K23">J6/J$6*100</f>
        <v>100</v>
      </c>
      <c r="L6" s="257"/>
    </row>
    <row r="7" spans="1:13" s="8" customFormat="1" ht="12.75">
      <c r="A7" s="328" t="s">
        <v>386</v>
      </c>
      <c r="B7" s="611">
        <f>-Betriebsaufwand!D5</f>
        <v>-35076.92307692308</v>
      </c>
      <c r="C7" s="330">
        <f t="shared" si="0"/>
        <v>-7.376863843179608</v>
      </c>
      <c r="D7" s="329">
        <f>-Betriebsaufwand!E5</f>
        <v>-40707.692307692305</v>
      </c>
      <c r="E7" s="330">
        <f t="shared" si="1"/>
        <v>-6.694597981198751</v>
      </c>
      <c r="F7" s="329">
        <f>-Betriebsaufwand!F5</f>
        <v>-55633.846153846156</v>
      </c>
      <c r="G7" s="330">
        <f t="shared" si="2"/>
        <v>-6.708917646219809</v>
      </c>
      <c r="H7" s="329">
        <f>-Betriebsaufwand!G5</f>
        <v>-63402.23076923077</v>
      </c>
      <c r="I7" s="330">
        <f t="shared" si="3"/>
        <v>-4.56301497972565</v>
      </c>
      <c r="J7" s="329">
        <f>-Betriebsaufwand!H5</f>
        <v>-80784.41538461538</v>
      </c>
      <c r="K7" s="330">
        <f t="shared" si="4"/>
        <v>-4.210124399302226</v>
      </c>
      <c r="L7" s="257"/>
      <c r="M7" s="11"/>
    </row>
    <row r="8" spans="1:12" s="8" customFormat="1" ht="12.75">
      <c r="A8" s="319" t="s">
        <v>387</v>
      </c>
      <c r="B8" s="612">
        <f>-Betriebsaufwand!D11-Betriebsaufwand!D10</f>
        <v>-29923.076923076922</v>
      </c>
      <c r="C8" s="321">
        <f t="shared" si="0"/>
        <v>-6.292982532887867</v>
      </c>
      <c r="D8" s="320">
        <f>-Betriebsaufwand!E11-Betriebsaufwand!E10</f>
        <v>-34473.07692307692</v>
      </c>
      <c r="E8" s="321">
        <f t="shared" si="1"/>
        <v>-5.669282096134203</v>
      </c>
      <c r="F8" s="320">
        <f>-Betriebsaufwand!F11-Betriebsaufwand!F10</f>
        <v>-47172.38461538462</v>
      </c>
      <c r="G8" s="321">
        <f t="shared" si="2"/>
        <v>-5.68854511128461</v>
      </c>
      <c r="H8" s="320">
        <f>-Betriebsaufwand!G11-Betriebsaufwand!G10</f>
        <v>-55267.995769230765</v>
      </c>
      <c r="I8" s="321">
        <f t="shared" si="3"/>
        <v>-3.9775996764580954</v>
      </c>
      <c r="J8" s="320">
        <f>-Betriebsaufwand!H11-Betriebsaufwand!H10</f>
        <v>-63225.08964615385</v>
      </c>
      <c r="K8" s="321">
        <f t="shared" si="4"/>
        <v>-3.2950104460127765</v>
      </c>
      <c r="L8" s="63"/>
    </row>
    <row r="9" spans="1:12" s="8" customFormat="1" ht="12.75">
      <c r="A9" s="319" t="s">
        <v>63</v>
      </c>
      <c r="B9" s="612">
        <f>-Betriebsaufwand!D4</f>
        <v>-185000</v>
      </c>
      <c r="C9" s="321">
        <f t="shared" si="0"/>
        <v>-38.90648583957666</v>
      </c>
      <c r="D9" s="320">
        <f>-Betriebsaufwand!E4</f>
        <v>-227100</v>
      </c>
      <c r="E9" s="321">
        <f t="shared" si="1"/>
        <v>-37.34781107311616</v>
      </c>
      <c r="F9" s="320">
        <f>-Betriebsaufwand!F4</f>
        <v>-231642</v>
      </c>
      <c r="G9" s="321">
        <f t="shared" si="2"/>
        <v>-27.933842594814216</v>
      </c>
      <c r="H9" s="320">
        <f>-Betriebsaufwand!G4</f>
        <v>-281426.84</v>
      </c>
      <c r="I9" s="321">
        <f t="shared" si="3"/>
        <v>-20.254096283944264</v>
      </c>
      <c r="J9" s="320">
        <f>-Betriebsaufwand!H4</f>
        <v>-287055.3768</v>
      </c>
      <c r="K9" s="321">
        <f t="shared" si="4"/>
        <v>-14.960049411296836</v>
      </c>
      <c r="L9" s="63"/>
    </row>
    <row r="10" spans="1:11" s="8" customFormat="1" ht="12.75">
      <c r="A10" s="319" t="s">
        <v>32</v>
      </c>
      <c r="B10" s="612">
        <f>-Betriebsaufwand!D7</f>
        <v>-8769.23076923077</v>
      </c>
      <c r="C10" s="321">
        <f t="shared" si="0"/>
        <v>-1.844215960794902</v>
      </c>
      <c r="D10" s="320">
        <f>-Betriebsaufwand!E7</f>
        <v>-9789.230769230768</v>
      </c>
      <c r="E10" s="321">
        <f t="shared" si="1"/>
        <v>-1.609891419288271</v>
      </c>
      <c r="F10" s="320">
        <f>-Betriebsaufwand!F7</f>
        <v>-12868.953846153847</v>
      </c>
      <c r="G10" s="321">
        <f t="shared" si="2"/>
        <v>-1.5518745784373755</v>
      </c>
      <c r="H10" s="320">
        <f>-Betriebsaufwand!G7</f>
        <v>-14107.198307692306</v>
      </c>
      <c r="I10" s="321">
        <f t="shared" si="3"/>
        <v>-1.0152853680220961</v>
      </c>
      <c r="J10" s="320">
        <f>-Betriebsaufwand!H7</f>
        <v>-17290.035858461535</v>
      </c>
      <c r="K10" s="321">
        <f t="shared" si="4"/>
        <v>-0.9010797625501179</v>
      </c>
    </row>
    <row r="11" spans="1:12" s="8" customFormat="1" ht="12.75">
      <c r="A11" s="319" t="s">
        <v>341</v>
      </c>
      <c r="B11" s="612">
        <f>-B40</f>
        <v>0</v>
      </c>
      <c r="C11" s="321">
        <f t="shared" si="0"/>
        <v>0</v>
      </c>
      <c r="D11" s="320">
        <f>-D40</f>
        <v>0</v>
      </c>
      <c r="E11" s="321">
        <f t="shared" si="1"/>
        <v>0</v>
      </c>
      <c r="F11" s="320">
        <f>-F40</f>
        <v>0</v>
      </c>
      <c r="G11" s="321">
        <f t="shared" si="2"/>
        <v>0</v>
      </c>
      <c r="H11" s="320">
        <f>-H40</f>
        <v>0</v>
      </c>
      <c r="I11" s="321">
        <f t="shared" si="3"/>
        <v>0</v>
      </c>
      <c r="J11" s="320">
        <f>-J40</f>
        <v>0</v>
      </c>
      <c r="K11" s="321">
        <f t="shared" si="4"/>
        <v>0</v>
      </c>
      <c r="L11" s="63"/>
    </row>
    <row r="12" spans="1:12" s="8" customFormat="1" ht="12.75">
      <c r="A12" s="319" t="s">
        <v>74</v>
      </c>
      <c r="B12" s="612">
        <f>-Betriebsaufwand!D14</f>
        <v>-5000</v>
      </c>
      <c r="C12" s="321">
        <f t="shared" si="0"/>
        <v>-1.0515266443128828</v>
      </c>
      <c r="D12" s="320">
        <f>-Betriebsaufwand!E14</f>
        <v>-5000</v>
      </c>
      <c r="E12" s="321">
        <f t="shared" si="1"/>
        <v>-0.8222767739567627</v>
      </c>
      <c r="F12" s="320">
        <f>-Betriebsaufwand!F14</f>
        <v>-5000</v>
      </c>
      <c r="G12" s="321">
        <f t="shared" si="2"/>
        <v>-0.6029528883970571</v>
      </c>
      <c r="H12" s="320">
        <f>-Betriebsaufwand!G14</f>
        <v>-7500</v>
      </c>
      <c r="I12" s="321">
        <f t="shared" si="3"/>
        <v>-0.5397698461510707</v>
      </c>
      <c r="J12" s="320">
        <f>-Betriebsaufwand!H14</f>
        <v>-7500</v>
      </c>
      <c r="K12" s="321">
        <f t="shared" si="4"/>
        <v>-0.3908666398640552</v>
      </c>
      <c r="L12" s="63"/>
    </row>
    <row r="13" spans="1:11" s="8" customFormat="1" ht="12.75">
      <c r="A13" s="319" t="s">
        <v>353</v>
      </c>
      <c r="B13" s="612">
        <f>-Betriebsaufwand!D12</f>
        <v>-25000</v>
      </c>
      <c r="C13" s="321">
        <f t="shared" si="0"/>
        <v>-5.257633221564414</v>
      </c>
      <c r="D13" s="612">
        <f>-Betriebsaufwand!E12</f>
        <v>-30300</v>
      </c>
      <c r="E13" s="321">
        <f t="shared" si="1"/>
        <v>-4.982997250177982</v>
      </c>
      <c r="F13" s="612">
        <f>-Betriebsaufwand!F12</f>
        <v>-30603</v>
      </c>
      <c r="G13" s="321">
        <f t="shared" si="2"/>
        <v>-3.6904334487230273</v>
      </c>
      <c r="H13" s="612">
        <f>-Betriebsaufwand!G12</f>
        <v>-30909.03</v>
      </c>
      <c r="I13" s="321">
        <f t="shared" si="3"/>
        <v>-2.224501649037177</v>
      </c>
      <c r="J13" s="612">
        <f>-Betriebsaufwand!H12</f>
        <v>-31218.120300000002</v>
      </c>
      <c r="K13" s="321">
        <f t="shared" si="4"/>
        <v>-1.626949571271047</v>
      </c>
    </row>
    <row r="14" spans="1:11" s="8" customFormat="1" ht="12.75">
      <c r="A14" s="319" t="s">
        <v>344</v>
      </c>
      <c r="B14" s="612">
        <f>-Betriebsaufwand!D13</f>
        <v>-62755.55555555556</v>
      </c>
      <c r="C14" s="321">
        <f t="shared" si="0"/>
        <v>-13.197827749064805</v>
      </c>
      <c r="D14" s="612">
        <f>-Betriebsaufwand!E13</f>
        <v>-108355.55555555556</v>
      </c>
      <c r="E14" s="321">
        <f t="shared" si="1"/>
        <v>-17.819651332503</v>
      </c>
      <c r="F14" s="612">
        <f>-Betriebsaufwand!F13</f>
        <v>-115466.66666666667</v>
      </c>
      <c r="G14" s="321">
        <f t="shared" si="2"/>
        <v>-13.924192036049371</v>
      </c>
      <c r="H14" s="612">
        <f>-Betriebsaufwand!G13</f>
        <v>-129155.55555555556</v>
      </c>
      <c r="I14" s="321">
        <f t="shared" si="3"/>
        <v>-9.295236580237106</v>
      </c>
      <c r="J14" s="612">
        <f>-Betriebsaufwand!H13</f>
        <v>-136000.00000000003</v>
      </c>
      <c r="K14" s="321">
        <f t="shared" si="4"/>
        <v>-7.08771506953487</v>
      </c>
    </row>
    <row r="15" spans="1:12" s="8" customFormat="1" ht="12.75">
      <c r="A15" s="319" t="s">
        <v>38</v>
      </c>
      <c r="B15" s="612">
        <f>-Betriebsaufwand!D9</f>
        <v>-40000</v>
      </c>
      <c r="C15" s="321">
        <f t="shared" si="0"/>
        <v>-8.412213154503062</v>
      </c>
      <c r="D15" s="320">
        <f>-Betriebsaufwand!E9</f>
        <v>-60000</v>
      </c>
      <c r="E15" s="321">
        <f t="shared" si="1"/>
        <v>-9.867321287481152</v>
      </c>
      <c r="F15" s="320">
        <f>-Betriebsaufwand!F9</f>
        <v>-80000</v>
      </c>
      <c r="G15" s="321">
        <f t="shared" si="2"/>
        <v>-9.647246214352913</v>
      </c>
      <c r="H15" s="320">
        <f>-Betriebsaufwand!G9</f>
        <v>-80000</v>
      </c>
      <c r="I15" s="321">
        <f t="shared" si="3"/>
        <v>-5.757545025611421</v>
      </c>
      <c r="J15" s="320">
        <f>-Betriebsaufwand!H9</f>
        <v>-80000</v>
      </c>
      <c r="K15" s="321">
        <f t="shared" si="4"/>
        <v>-4.1692441585499225</v>
      </c>
      <c r="L15" s="63"/>
    </row>
    <row r="16" spans="1:12" s="8" customFormat="1" ht="12.75">
      <c r="A16" s="319" t="s">
        <v>69</v>
      </c>
      <c r="B16" s="612">
        <f>-Betriebsaufwand!D8</f>
        <v>-40000</v>
      </c>
      <c r="C16" s="321">
        <f t="shared" si="0"/>
        <v>-8.412213154503062</v>
      </c>
      <c r="D16" s="320">
        <f>-Betriebsaufwand!E8</f>
        <v>-40000</v>
      </c>
      <c r="E16" s="321">
        <f t="shared" si="1"/>
        <v>-6.5782141916541015</v>
      </c>
      <c r="F16" s="320">
        <f>-Betriebsaufwand!F8</f>
        <v>-40000</v>
      </c>
      <c r="G16" s="321">
        <f t="shared" si="2"/>
        <v>-4.823623107176457</v>
      </c>
      <c r="H16" s="320">
        <f>-Betriebsaufwand!G8</f>
        <v>-50000</v>
      </c>
      <c r="I16" s="321">
        <f t="shared" si="3"/>
        <v>-3.5984656410071376</v>
      </c>
      <c r="J16" s="320">
        <f>-Betriebsaufwand!H8</f>
        <v>-50000</v>
      </c>
      <c r="K16" s="321">
        <f t="shared" si="4"/>
        <v>-2.605777599093701</v>
      </c>
      <c r="L16" s="63"/>
    </row>
    <row r="17" spans="1:13" s="8" customFormat="1" ht="12.75">
      <c r="A17" s="694" t="s">
        <v>372</v>
      </c>
      <c r="B17" s="612">
        <f>-Betriebsaufwand!D15</f>
        <v>-100000</v>
      </c>
      <c r="C17" s="321">
        <f t="shared" si="0"/>
        <v>-21.030532886257657</v>
      </c>
      <c r="D17" s="320">
        <f>-Betriebsaufwand!E15</f>
        <v>0</v>
      </c>
      <c r="E17" s="321">
        <f t="shared" si="1"/>
        <v>0</v>
      </c>
      <c r="F17" s="320">
        <f>-Betriebsaufwand!F15</f>
        <v>0</v>
      </c>
      <c r="G17" s="321">
        <f t="shared" si="2"/>
        <v>0</v>
      </c>
      <c r="H17" s="320">
        <f>-Betriebsaufwand!G15</f>
        <v>0</v>
      </c>
      <c r="I17" s="321">
        <f t="shared" si="3"/>
        <v>0</v>
      </c>
      <c r="J17" s="320">
        <f>-Betriebsaufwand!H15</f>
        <v>0</v>
      </c>
      <c r="K17" s="321">
        <f t="shared" si="4"/>
        <v>0</v>
      </c>
      <c r="L17" s="13"/>
      <c r="M17" s="13"/>
    </row>
    <row r="18" spans="1:12" s="8" customFormat="1" ht="13.5" thickBot="1">
      <c r="A18" s="331" t="s">
        <v>64</v>
      </c>
      <c r="B18" s="613">
        <f>SUM(B7:B17)</f>
        <v>-531524.7863247863</v>
      </c>
      <c r="C18" s="333">
        <f t="shared" si="0"/>
        <v>-111.78249498664489</v>
      </c>
      <c r="D18" s="332">
        <f>SUM(D7:D17)</f>
        <v>-555725.5555555555</v>
      </c>
      <c r="E18" s="333">
        <f t="shared" si="1"/>
        <v>-91.39204340551038</v>
      </c>
      <c r="F18" s="332">
        <f>SUM(F7:F17)</f>
        <v>-618386.8512820513</v>
      </c>
      <c r="G18" s="333">
        <f t="shared" si="2"/>
        <v>-74.57162762545484</v>
      </c>
      <c r="H18" s="332">
        <f>SUM(H7:H17)</f>
        <v>-711768.8504017096</v>
      </c>
      <c r="I18" s="333">
        <f t="shared" si="3"/>
        <v>-51.225515050194026</v>
      </c>
      <c r="J18" s="332">
        <f>SUM(J7:J17)</f>
        <v>-753073.0379892308</v>
      </c>
      <c r="K18" s="333">
        <f t="shared" si="4"/>
        <v>-39.24681705747555</v>
      </c>
      <c r="L18" s="63"/>
    </row>
    <row r="19" spans="1:13" ht="13.5" thickBot="1">
      <c r="A19" s="695" t="s">
        <v>400</v>
      </c>
      <c r="B19" s="334">
        <f>B6+B18</f>
        <v>-56025.660644786316</v>
      </c>
      <c r="C19" s="335">
        <f t="shared" si="0"/>
        <v>-11.782494986644899</v>
      </c>
      <c r="D19" s="334">
        <f>D6+D18</f>
        <v>52342.209260444506</v>
      </c>
      <c r="E19" s="335">
        <f t="shared" si="1"/>
        <v>8.60795659448962</v>
      </c>
      <c r="F19" s="334">
        <f>F6+F18</f>
        <v>210865.33346034866</v>
      </c>
      <c r="G19" s="335">
        <f t="shared" si="2"/>
        <v>25.428372374545166</v>
      </c>
      <c r="H19" s="334">
        <f>H6+H18</f>
        <v>677712.2503822905</v>
      </c>
      <c r="I19" s="335">
        <f t="shared" si="3"/>
        <v>48.774484949805974</v>
      </c>
      <c r="J19" s="334">
        <f>J6+J18</f>
        <v>1165739.9880107692</v>
      </c>
      <c r="K19" s="335">
        <f t="shared" si="4"/>
        <v>60.753182942524454</v>
      </c>
      <c r="L19" s="8"/>
      <c r="M19" s="8"/>
    </row>
    <row r="20" spans="1:13" ht="13.5" thickBot="1">
      <c r="A20" s="14" t="s">
        <v>251</v>
      </c>
      <c r="B20" s="15">
        <f>-Betriebsaufwand!D6</f>
        <v>-8571.518329374716</v>
      </c>
      <c r="C20" s="16">
        <f t="shared" si="0"/>
        <v>-1.8026359811107524</v>
      </c>
      <c r="D20" s="15">
        <f>-Betriebsaufwand!E6</f>
        <v>-7768.759014889481</v>
      </c>
      <c r="E20" s="16">
        <f t="shared" si="1"/>
        <v>-1.277614020082168</v>
      </c>
      <c r="F20" s="15">
        <f>-Betriebsaufwand!F6</f>
        <v>-6858.588421472127</v>
      </c>
      <c r="G20" s="16">
        <f t="shared" si="2"/>
        <v>-0.8270811398106462</v>
      </c>
      <c r="H20" s="15">
        <f>-Betriebsaufwand!G6</f>
        <v>-6142.150611837044</v>
      </c>
      <c r="I20" s="16">
        <f t="shared" si="3"/>
        <v>-0.44204635877173143</v>
      </c>
      <c r="J20" s="15">
        <f>-Betriebsaufwand!H6</f>
        <v>-5159.301567794724</v>
      </c>
      <c r="K20" s="16">
        <f t="shared" si="4"/>
        <v>-0.2688798490465701</v>
      </c>
      <c r="L20"/>
      <c r="M20" s="598"/>
    </row>
    <row r="21" spans="1:13" s="8" customFormat="1" ht="13.5" thickBot="1">
      <c r="A21" s="30" t="s">
        <v>65</v>
      </c>
      <c r="B21" s="31">
        <f>+B19+B20</f>
        <v>-64597.178974161034</v>
      </c>
      <c r="C21" s="32">
        <f t="shared" si="0"/>
        <v>-13.585130967755651</v>
      </c>
      <c r="D21" s="31">
        <f>+D19+D20</f>
        <v>44573.450245555025</v>
      </c>
      <c r="E21" s="32">
        <f t="shared" si="1"/>
        <v>7.330342574407451</v>
      </c>
      <c r="F21" s="31">
        <f>+F19+F20</f>
        <v>204006.74503887654</v>
      </c>
      <c r="G21" s="32">
        <f t="shared" si="2"/>
        <v>24.601291234734518</v>
      </c>
      <c r="H21" s="31">
        <f>+H19+H20</f>
        <v>671570.0997704534</v>
      </c>
      <c r="I21" s="32">
        <f t="shared" si="3"/>
        <v>48.33243859103425</v>
      </c>
      <c r="J21" s="31">
        <f>+J19+J20</f>
        <v>1160580.6864429745</v>
      </c>
      <c r="K21" s="32">
        <f t="shared" si="4"/>
        <v>60.48430309347788</v>
      </c>
      <c r="L21" s="13"/>
      <c r="M21" s="13"/>
    </row>
    <row r="22" spans="1:13" ht="13.5" thickBot="1">
      <c r="A22" s="20" t="s">
        <v>399</v>
      </c>
      <c r="B22" s="21">
        <f>IF(B21&gt;0,-B21*L22,0)</f>
        <v>0</v>
      </c>
      <c r="C22" s="22">
        <f t="shared" si="0"/>
        <v>0</v>
      </c>
      <c r="D22" s="21">
        <f>IF(D21&gt;0,-D21*L22,0)</f>
        <v>-11143.362561388756</v>
      </c>
      <c r="E22" s="22">
        <f t="shared" si="1"/>
        <v>-1.8325856436018628</v>
      </c>
      <c r="F22" s="21">
        <f>IF(F21&gt;0,-F21*L22,0)</f>
        <v>-51001.686259719136</v>
      </c>
      <c r="G22" s="22">
        <f t="shared" si="2"/>
        <v>-6.1503228086836295</v>
      </c>
      <c r="H22" s="21">
        <f>IF(H21&gt;0,-H21*L22,0)</f>
        <v>-167892.52494261335</v>
      </c>
      <c r="I22" s="22">
        <f t="shared" si="3"/>
        <v>-12.083109647758562</v>
      </c>
      <c r="J22" s="21">
        <f>IF(J21&gt;0,-J21*L22,0)</f>
        <v>-290145.1716107436</v>
      </c>
      <c r="K22" s="22">
        <f t="shared" si="4"/>
        <v>-15.12107577336947</v>
      </c>
      <c r="L22" s="323">
        <v>0.25</v>
      </c>
      <c r="M22" s="324" t="s">
        <v>370</v>
      </c>
    </row>
    <row r="23" spans="1:13" ht="14.25" thickBot="1" thickTop="1">
      <c r="A23" s="33" t="s">
        <v>66</v>
      </c>
      <c r="B23" s="34">
        <f>SUM(B21:B22)</f>
        <v>-64597.178974161034</v>
      </c>
      <c r="C23" s="35">
        <f t="shared" si="0"/>
        <v>-13.585130967755651</v>
      </c>
      <c r="D23" s="34">
        <f>SUM(D21:D22)</f>
        <v>33430.08768416627</v>
      </c>
      <c r="E23" s="35">
        <f t="shared" si="1"/>
        <v>5.497756930805589</v>
      </c>
      <c r="F23" s="34">
        <f>SUM(F21:F22)</f>
        <v>153005.0587791574</v>
      </c>
      <c r="G23" s="35">
        <f t="shared" si="2"/>
        <v>18.45096842605089</v>
      </c>
      <c r="H23" s="34">
        <f>SUM(H21:H22)</f>
        <v>503677.5748278401</v>
      </c>
      <c r="I23" s="35">
        <f t="shared" si="3"/>
        <v>36.249328943275685</v>
      </c>
      <c r="J23" s="34">
        <f>SUM(J21:J22)</f>
        <v>870435.5148322309</v>
      </c>
      <c r="K23" s="35">
        <f t="shared" si="4"/>
        <v>45.36322732010841</v>
      </c>
      <c r="L23" s="8"/>
      <c r="M23" s="8"/>
    </row>
    <row r="24" spans="1:11" ht="18" customHeight="1">
      <c r="A24" s="23"/>
      <c r="B24" s="24"/>
      <c r="C24" s="25"/>
      <c r="D24" s="24"/>
      <c r="E24" s="25"/>
      <c r="F24" s="24"/>
      <c r="G24" s="25"/>
      <c r="H24" s="24"/>
      <c r="I24" s="25"/>
      <c r="J24" s="24"/>
      <c r="K24" s="25"/>
    </row>
    <row r="25" spans="1:13" s="8" customFormat="1" ht="18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s="8" customFormat="1" ht="18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3" s="8" customFormat="1" ht="12.75">
      <c r="A27" s="241" t="s">
        <v>70</v>
      </c>
      <c r="C27" s="9"/>
    </row>
    <row r="28" spans="1:10" s="8" customFormat="1" ht="12.75">
      <c r="A28" s="785" t="s">
        <v>55</v>
      </c>
      <c r="B28" s="786">
        <f>Investitionen!E4</f>
        <v>0</v>
      </c>
      <c r="C28" s="786"/>
      <c r="D28" s="786">
        <f>Investitionen!F4</f>
        <v>0</v>
      </c>
      <c r="E28" s="786"/>
      <c r="F28" s="786">
        <f>Investitionen!G4</f>
        <v>0</v>
      </c>
      <c r="G28" s="785"/>
      <c r="H28" s="785">
        <f>Investitionen!H4</f>
        <v>0</v>
      </c>
      <c r="I28" s="785"/>
      <c r="J28" s="785">
        <f>Investitionen!I4</f>
        <v>0</v>
      </c>
    </row>
    <row r="29" spans="1:10" s="8" customFormat="1" ht="12.75">
      <c r="A29" s="785" t="s">
        <v>71</v>
      </c>
      <c r="B29" s="786">
        <f>Investitionen!E5</f>
        <v>0</v>
      </c>
      <c r="C29" s="786"/>
      <c r="D29" s="786">
        <f>Investitionen!F5</f>
        <v>0</v>
      </c>
      <c r="E29" s="786"/>
      <c r="F29" s="786">
        <f>Investitionen!G5</f>
        <v>0</v>
      </c>
      <c r="G29" s="785"/>
      <c r="H29" s="785">
        <f>Investitionen!H5</f>
        <v>0</v>
      </c>
      <c r="I29" s="785"/>
      <c r="J29" s="785">
        <f>Investitionen!I5</f>
        <v>0</v>
      </c>
    </row>
    <row r="30" spans="1:10" s="8" customFormat="1" ht="12.75">
      <c r="A30" s="785" t="s">
        <v>72</v>
      </c>
      <c r="B30" s="786">
        <f>Investitionen!E6</f>
        <v>0</v>
      </c>
      <c r="C30" s="786"/>
      <c r="D30" s="786">
        <f>Investitionen!F6</f>
        <v>0</v>
      </c>
      <c r="E30" s="786"/>
      <c r="F30" s="786">
        <f>Investitionen!G6</f>
        <v>0</v>
      </c>
      <c r="G30" s="785"/>
      <c r="H30" s="785">
        <f>Investitionen!H6</f>
        <v>0</v>
      </c>
      <c r="I30" s="785"/>
      <c r="J30" s="785">
        <f>Investitionen!I6</f>
        <v>0</v>
      </c>
    </row>
    <row r="31" spans="1:10" s="8" customFormat="1" ht="12.75">
      <c r="A31" s="785" t="s">
        <v>73</v>
      </c>
      <c r="B31" s="786">
        <f>Investitionen!E7</f>
        <v>0</v>
      </c>
      <c r="C31" s="786"/>
      <c r="D31" s="786">
        <f>Investitionen!F7</f>
        <v>0</v>
      </c>
      <c r="E31" s="786"/>
      <c r="F31" s="786">
        <f>Investitionen!G7</f>
        <v>0</v>
      </c>
      <c r="G31" s="785"/>
      <c r="H31" s="785">
        <f>Investitionen!H7</f>
        <v>0</v>
      </c>
      <c r="I31" s="785"/>
      <c r="J31" s="785">
        <f>Investitionen!I7</f>
        <v>0</v>
      </c>
    </row>
    <row r="32" spans="1:10" s="8" customFormat="1" ht="12.75">
      <c r="A32" s="785" t="s">
        <v>57</v>
      </c>
      <c r="B32" s="786">
        <f>Investitionen!E10+Investitionen!E11+Investitionen!E12+Investitionen!E13+Investitionen!E14+Investitionen!E15+Investitionen!E16+Investitionen!E17+Investitionen!E18+Investitionen!E19+Investitionen!E20+Investitionen!E21+Investitionen!E22+Investitionen!E23+Investitionen!E24+Investitionen!E25+Investitionen!E26+Investitionen!E8</f>
        <v>0</v>
      </c>
      <c r="C32" s="786"/>
      <c r="D32" s="786">
        <f>Investitionen!F10+Investitionen!F11+Investitionen!F12+Investitionen!F13+Investitionen!F14+Investitionen!F15+Investitionen!F16+Investitionen!F17+Investitionen!F18+Investitionen!F19+Investitionen!F20+Investitionen!F21+Investitionen!F22+Investitionen!F23+Investitionen!F24+Investitionen!F25+Investitionen!F26</f>
        <v>0</v>
      </c>
      <c r="E32" s="786"/>
      <c r="F32" s="786">
        <f>Investitionen!G10+Investitionen!G11+Investitionen!G12+Investitionen!G13+Investitionen!G14+Investitionen!G15+Investitionen!G16+Investitionen!G17+Investitionen!G18+Investitionen!G19+Investitionen!G20+Investitionen!G21+Investitionen!G22</f>
        <v>0</v>
      </c>
      <c r="G32" s="785"/>
      <c r="H32" s="785">
        <f>Investitionen!H10+Investitionen!H11+Investitionen!H12+Investitionen!H13+Investitionen!H14+Investitionen!H15+Investitionen!H16+Investitionen!H17+Investitionen!H18+Investitionen!H19+Investitionen!H20+Investitionen!H21+Investitionen!H22+Investitionen!H23+Investitionen!H24+Investitionen!H25+Investitionen!H26</f>
        <v>0</v>
      </c>
      <c r="I32" s="785"/>
      <c r="J32" s="785">
        <f>Investitionen!I10+Investitionen!I11+Investitionen!I12+Investitionen!I13+Investitionen!I14+Investitionen!I15+Investitionen!I16+Investitionen!I17+Investitionen!I18+Investitionen!I19+Investitionen!I20+Investitionen!I21+Investitionen!I22+Investitionen!I23+Investitionen!I24+Investitionen!I25+Investitionen!I26</f>
        <v>0</v>
      </c>
    </row>
    <row r="33" spans="1:13" ht="12.75">
      <c r="A33" s="8"/>
      <c r="B33" s="242">
        <f>SUM(B28:B32)</f>
        <v>0</v>
      </c>
      <c r="C33" s="11"/>
      <c r="D33" s="242">
        <f>SUM(D28:D32)</f>
        <v>0</v>
      </c>
      <c r="E33" s="11"/>
      <c r="F33" s="242">
        <f>SUM(F28:F32)</f>
        <v>0</v>
      </c>
      <c r="G33" s="8"/>
      <c r="H33" s="663">
        <f>SUM(H28:H32)</f>
        <v>0</v>
      </c>
      <c r="I33" s="8"/>
      <c r="J33" s="663">
        <f>SUM(J28:J32)</f>
        <v>0</v>
      </c>
      <c r="K33" s="8"/>
      <c r="L33" s="8"/>
      <c r="M33" s="8"/>
    </row>
    <row r="34" spans="1:13" ht="12.75">
      <c r="A34" s="8"/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8"/>
    </row>
    <row r="35" spans="1:6" ht="25.5">
      <c r="A35" s="239" t="s">
        <v>75</v>
      </c>
      <c r="B35" s="12"/>
      <c r="C35" s="336" t="s">
        <v>179</v>
      </c>
      <c r="D35" s="12"/>
      <c r="E35" s="12"/>
      <c r="F35" s="12"/>
    </row>
    <row r="36" spans="1:10" ht="12.75">
      <c r="A36" s="787" t="s">
        <v>71</v>
      </c>
      <c r="B36" s="788">
        <f>B29/C36</f>
        <v>0</v>
      </c>
      <c r="C36" s="788">
        <f>Investitionen!C5</f>
        <v>50</v>
      </c>
      <c r="D36" s="788">
        <f>(B29+D29)/C36</f>
        <v>0</v>
      </c>
      <c r="E36" s="788"/>
      <c r="F36" s="788">
        <f>(B29+D29+F29)/C36</f>
        <v>0</v>
      </c>
      <c r="G36" s="787"/>
      <c r="H36" s="788">
        <f>(B29+D29+F29+H29)/C36</f>
        <v>0</v>
      </c>
      <c r="I36" s="787"/>
      <c r="J36" s="788">
        <f>(B29+D29+F29+H29+J29)/C36</f>
        <v>0</v>
      </c>
    </row>
    <row r="37" spans="1:10" ht="12.75">
      <c r="A37" s="787" t="s">
        <v>72</v>
      </c>
      <c r="B37" s="788">
        <f>B30/C37</f>
        <v>0</v>
      </c>
      <c r="C37" s="788">
        <f>Investitionen!C6</f>
        <v>15</v>
      </c>
      <c r="D37" s="788">
        <f>(B30+D30)/C37</f>
        <v>0</v>
      </c>
      <c r="E37" s="788"/>
      <c r="F37" s="788">
        <f>(B30+D30+F30)/C37</f>
        <v>0</v>
      </c>
      <c r="G37" s="787"/>
      <c r="H37" s="788">
        <f>(B30+D30+F30+H30)/C37</f>
        <v>0</v>
      </c>
      <c r="I37" s="787"/>
      <c r="J37" s="788">
        <f>(B30+D30+F30+H30+J30)/C37</f>
        <v>0</v>
      </c>
    </row>
    <row r="38" spans="1:10" ht="12.75">
      <c r="A38" s="787" t="s">
        <v>73</v>
      </c>
      <c r="B38" s="788">
        <f>B31/C38</f>
        <v>0</v>
      </c>
      <c r="C38" s="788">
        <f>Investitionen!C7</f>
        <v>15</v>
      </c>
      <c r="D38" s="788">
        <f>(B31+D31)/C38</f>
        <v>0</v>
      </c>
      <c r="E38" s="788"/>
      <c r="F38" s="788">
        <f>(B31+D31+F31)/C38</f>
        <v>0</v>
      </c>
      <c r="G38" s="787"/>
      <c r="H38" s="788">
        <f>(B31+D31+F31+H31)/C38</f>
        <v>0</v>
      </c>
      <c r="I38" s="787"/>
      <c r="J38" s="788">
        <f>(B31+D31+F31+H31+J31)/C38</f>
        <v>0</v>
      </c>
    </row>
    <row r="39" spans="1:10" ht="12.75">
      <c r="A39" s="787" t="s">
        <v>57</v>
      </c>
      <c r="B39" s="788">
        <f>B32/C39</f>
        <v>0</v>
      </c>
      <c r="C39" s="787">
        <f>Investitionen!C10</f>
        <v>10</v>
      </c>
      <c r="D39" s="788">
        <f>(B32+D32)/C39</f>
        <v>0</v>
      </c>
      <c r="E39" s="787"/>
      <c r="F39" s="788">
        <f>(B32+D32+F32)/C39</f>
        <v>0</v>
      </c>
      <c r="G39" s="787"/>
      <c r="H39" s="788">
        <f>(B32+D32+F32+H32)/C39</f>
        <v>0</v>
      </c>
      <c r="I39" s="787"/>
      <c r="J39" s="788">
        <f>(B32+D32+F32+H32+J32)/C39</f>
        <v>0</v>
      </c>
    </row>
    <row r="40" spans="1:10" ht="12.75">
      <c r="A40" s="243"/>
      <c r="B40" s="245">
        <f>SUM(B36:B39)</f>
        <v>0</v>
      </c>
      <c r="C40" s="243"/>
      <c r="D40" s="245">
        <f>SUM(D36:D39)</f>
        <v>0</v>
      </c>
      <c r="E40" s="243"/>
      <c r="F40" s="245">
        <f>SUM(F36:F39)</f>
        <v>0</v>
      </c>
      <c r="G40" s="243"/>
      <c r="H40" s="245">
        <f>SUM(H36:H39)</f>
        <v>0</v>
      </c>
      <c r="I40" s="243"/>
      <c r="J40" s="245">
        <f>SUM(J36:J39)</f>
        <v>0</v>
      </c>
    </row>
    <row r="41" spans="1:10" ht="12.75">
      <c r="A41" s="243"/>
      <c r="B41" s="244"/>
      <c r="C41" s="243"/>
      <c r="D41" s="244"/>
      <c r="E41" s="243"/>
      <c r="F41" s="244"/>
      <c r="G41" s="243"/>
      <c r="H41" s="244"/>
      <c r="I41" s="243"/>
      <c r="J41" s="244"/>
    </row>
    <row r="44" spans="1:3" ht="12.75">
      <c r="A44"/>
      <c r="B44"/>
      <c r="C44"/>
    </row>
  </sheetData>
  <mergeCells count="6">
    <mergeCell ref="A2:D2"/>
    <mergeCell ref="J4:K4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0" horizontalDpi="600" verticalDpi="600" orientation="landscape" paperSize="9" scale="81" r:id="rId3"/>
  <ignoredErrors>
    <ignoredError sqref="C18 D19:K23 C19:C23 D18:K18 D6:K17 C11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2:O35"/>
  <sheetViews>
    <sheetView zoomScale="90" zoomScaleNormal="90" workbookViewId="0" topLeftCell="A1">
      <selection activeCell="H49" sqref="H49"/>
    </sheetView>
  </sheetViews>
  <sheetFormatPr defaultColWidth="11.00390625" defaultRowHeight="12.75"/>
  <cols>
    <col min="1" max="1" width="25.125" style="13" customWidth="1"/>
    <col min="2" max="2" width="10.50390625" style="13" customWidth="1"/>
    <col min="3" max="3" width="6.125" style="13" customWidth="1"/>
    <col min="4" max="4" width="11.00390625" style="13" customWidth="1"/>
    <col min="5" max="5" width="6.125" style="13" customWidth="1"/>
    <col min="6" max="6" width="9.75390625" style="13" customWidth="1"/>
    <col min="7" max="7" width="6.00390625" style="13" customWidth="1"/>
    <col min="8" max="8" width="10.625" style="13" customWidth="1"/>
    <col min="9" max="9" width="6.125" style="13" customWidth="1"/>
    <col min="10" max="10" width="10.50390625" style="13" customWidth="1"/>
    <col min="11" max="11" width="6.125" style="13" customWidth="1"/>
    <col min="12" max="12" width="5.625" style="13" customWidth="1"/>
    <col min="13" max="13" width="38.75390625" style="13" customWidth="1"/>
    <col min="14" max="14" width="3.625" style="13" customWidth="1"/>
    <col min="15" max="15" width="10.875" style="13" customWidth="1"/>
    <col min="16" max="16384" width="10.00390625" style="13" customWidth="1"/>
  </cols>
  <sheetData>
    <row r="1" s="8" customFormat="1" ht="13.5" thickBot="1"/>
    <row r="2" spans="1:4" s="8" customFormat="1" ht="16.5" thickBot="1">
      <c r="A2" s="863" t="s">
        <v>266</v>
      </c>
      <c r="B2" s="864"/>
      <c r="C2" s="864"/>
      <c r="D2" s="865"/>
    </row>
    <row r="3" s="8" customFormat="1" ht="13.5" thickBot="1">
      <c r="A3" s="8" t="s">
        <v>61</v>
      </c>
    </row>
    <row r="4" spans="1:11" ht="12.75">
      <c r="A4" s="514" t="s">
        <v>5</v>
      </c>
      <c r="B4" s="868">
        <v>2008</v>
      </c>
      <c r="C4" s="869"/>
      <c r="D4" s="868">
        <v>2009</v>
      </c>
      <c r="E4" s="869"/>
      <c r="F4" s="868">
        <v>2010</v>
      </c>
      <c r="G4" s="869"/>
      <c r="H4" s="868">
        <v>2011</v>
      </c>
      <c r="I4" s="869"/>
      <c r="J4" s="868">
        <v>2012</v>
      </c>
      <c r="K4" s="869"/>
    </row>
    <row r="5" spans="1:11" ht="13.5" thickBot="1">
      <c r="A5" s="515"/>
      <c r="B5" s="516" t="s">
        <v>68</v>
      </c>
      <c r="C5" s="517" t="s">
        <v>62</v>
      </c>
      <c r="D5" s="516" t="s">
        <v>68</v>
      </c>
      <c r="E5" s="517" t="s">
        <v>62</v>
      </c>
      <c r="F5" s="516" t="s">
        <v>68</v>
      </c>
      <c r="G5" s="517" t="s">
        <v>62</v>
      </c>
      <c r="H5" s="516" t="s">
        <v>68</v>
      </c>
      <c r="I5" s="517" t="s">
        <v>62</v>
      </c>
      <c r="J5" s="516" t="s">
        <v>68</v>
      </c>
      <c r="K5" s="517" t="s">
        <v>62</v>
      </c>
    </row>
    <row r="6" spans="1:11" s="8" customFormat="1" ht="12.75">
      <c r="A6" s="521" t="s">
        <v>78</v>
      </c>
      <c r="B6" s="670">
        <f>SUM(B7:B9)</f>
        <v>0</v>
      </c>
      <c r="C6" s="671">
        <f>B6/B$15*100</f>
        <v>0</v>
      </c>
      <c r="D6" s="670">
        <f>SUM(D7:D9)</f>
        <v>0</v>
      </c>
      <c r="E6" s="671">
        <f>D6/D$15*100</f>
        <v>0</v>
      </c>
      <c r="F6" s="670">
        <f>SUM(F7:F9)</f>
        <v>0</v>
      </c>
      <c r="G6" s="671">
        <f>F6/F$15*100</f>
        <v>0</v>
      </c>
      <c r="H6" s="670">
        <f>SUM(H7:H9)</f>
        <v>0</v>
      </c>
      <c r="I6" s="671">
        <f>H6/H$15*100</f>
        <v>0</v>
      </c>
      <c r="J6" s="670">
        <f>SUM(J7:J9)</f>
        <v>0</v>
      </c>
      <c r="K6" s="671">
        <f>J6/J$15*100</f>
        <v>0</v>
      </c>
    </row>
    <row r="7" spans="1:11" s="8" customFormat="1" ht="12.75">
      <c r="A7" s="518" t="s">
        <v>55</v>
      </c>
      <c r="B7" s="519">
        <f>+'Plan GuV'!B28</f>
        <v>0</v>
      </c>
      <c r="C7" s="520">
        <f>B7/B$15*100</f>
        <v>0</v>
      </c>
      <c r="D7" s="519">
        <f>+B7</f>
        <v>0</v>
      </c>
      <c r="E7" s="520">
        <f aca="true" t="shared" si="0" ref="E7:G15">D7/D$15*100</f>
        <v>0</v>
      </c>
      <c r="F7" s="519">
        <f>+D7</f>
        <v>0</v>
      </c>
      <c r="G7" s="520">
        <f t="shared" si="0"/>
        <v>0</v>
      </c>
      <c r="H7" s="519">
        <f>+F7</f>
        <v>0</v>
      </c>
      <c r="I7" s="520">
        <f>H7/H$15*100</f>
        <v>0</v>
      </c>
      <c r="J7" s="519">
        <f>+H7</f>
        <v>0</v>
      </c>
      <c r="K7" s="520">
        <f>J7/J$15*100</f>
        <v>0</v>
      </c>
    </row>
    <row r="8" spans="1:11" s="8" customFormat="1" ht="12.75">
      <c r="A8" s="518" t="s">
        <v>79</v>
      </c>
      <c r="B8" s="519">
        <f>+'Plan GuV'!B29+'Plan GuV'!B30-'Plan GuV'!B36-'Plan GuV'!B37</f>
        <v>0</v>
      </c>
      <c r="C8" s="520">
        <f>B8/B$15*100</f>
        <v>0</v>
      </c>
      <c r="D8" s="519">
        <f>+B8+'Plan GuV'!D29+'Plan GuV'!D30-'Plan GuV'!D37-'Plan GuV'!D36</f>
        <v>0</v>
      </c>
      <c r="E8" s="520">
        <f t="shared" si="0"/>
        <v>0</v>
      </c>
      <c r="F8" s="519">
        <f>+D8+'Plan GuV'!F29+'Plan GuV'!F30-'Plan GuV'!F37-'Plan GuV'!F36</f>
        <v>0</v>
      </c>
      <c r="G8" s="520">
        <f t="shared" si="0"/>
        <v>0</v>
      </c>
      <c r="H8" s="519">
        <f>+F8+'Plan GuV'!H29+'Plan GuV'!H30-'Plan GuV'!H37-'Plan GuV'!H36</f>
        <v>0</v>
      </c>
      <c r="I8" s="520">
        <f>H8/H$15*100</f>
        <v>0</v>
      </c>
      <c r="J8" s="519">
        <f>+H8+'Plan GuV'!J29+'Plan GuV'!J30-'Plan GuV'!J37-'Plan GuV'!J36</f>
        <v>0</v>
      </c>
      <c r="K8" s="520">
        <f>J8/J$15*100</f>
        <v>0</v>
      </c>
    </row>
    <row r="9" spans="1:13" s="8" customFormat="1" ht="12.75">
      <c r="A9" s="518" t="s">
        <v>76</v>
      </c>
      <c r="B9" s="519">
        <f>+'Plan GuV'!B31+'Plan GuV'!B32-'Plan GuV'!B38-'Plan GuV'!B39</f>
        <v>0</v>
      </c>
      <c r="C9" s="520">
        <f>B9/B$15*100</f>
        <v>0</v>
      </c>
      <c r="D9" s="519">
        <f>+B9+'Plan GuV'!D31+'Plan GuV'!D32-'Plan GuV'!D38-'Plan GuV'!D39</f>
        <v>0</v>
      </c>
      <c r="E9" s="520">
        <f t="shared" si="0"/>
        <v>0</v>
      </c>
      <c r="F9" s="519">
        <f>+D9+'Plan GuV'!F31+'Plan GuV'!F32-'Plan GuV'!F38-'Plan GuV'!F39</f>
        <v>0</v>
      </c>
      <c r="G9" s="520">
        <f t="shared" si="0"/>
        <v>0</v>
      </c>
      <c r="H9" s="519">
        <f>+F9+'Plan GuV'!H31+'Plan GuV'!H32-'Plan GuV'!H38-'Plan GuV'!H39</f>
        <v>0</v>
      </c>
      <c r="I9" s="520">
        <f>H9/H$15*100</f>
        <v>0</v>
      </c>
      <c r="J9" s="519">
        <f>+H9+'Plan GuV'!J31+'Plan GuV'!J32-'Plan GuV'!J38-'Plan GuV'!J39</f>
        <v>0</v>
      </c>
      <c r="K9" s="520">
        <f>J9/J$15*100</f>
        <v>0</v>
      </c>
      <c r="L9" s="63"/>
      <c r="M9" s="614"/>
    </row>
    <row r="10" spans="1:11" s="8" customFormat="1" ht="2.25" customHeight="1">
      <c r="A10" s="17"/>
      <c r="B10" s="18"/>
      <c r="C10" s="19"/>
      <c r="D10" s="18"/>
      <c r="E10" s="19"/>
      <c r="F10" s="18"/>
      <c r="G10" s="19"/>
      <c r="H10" s="18"/>
      <c r="I10" s="19"/>
      <c r="J10" s="18"/>
      <c r="K10" s="19"/>
    </row>
    <row r="11" spans="1:11" s="8" customFormat="1" ht="13.5" customHeight="1" thickBot="1">
      <c r="A11" s="522" t="s">
        <v>3</v>
      </c>
      <c r="B11" s="672">
        <f>SUM(B12:B14)</f>
        <v>504249.85427999997</v>
      </c>
      <c r="C11" s="673">
        <f>B11/B$15*100</f>
        <v>100</v>
      </c>
      <c r="D11" s="672">
        <f>SUM(D12:D14)</f>
        <v>505139.8197770256</v>
      </c>
      <c r="E11" s="673">
        <f t="shared" si="0"/>
        <v>100</v>
      </c>
      <c r="F11" s="672">
        <f>SUM(F12:F14)</f>
        <v>623910.2551493744</v>
      </c>
      <c r="G11" s="673">
        <f t="shared" si="0"/>
        <v>100</v>
      </c>
      <c r="H11" s="672">
        <f>SUM(H12:H14)</f>
        <v>1096247.7400986154</v>
      </c>
      <c r="I11" s="673">
        <f>H11/H$15*100</f>
        <v>100</v>
      </c>
      <c r="J11" s="672">
        <f>SUM(J12:J14)</f>
        <v>1930804.5472576923</v>
      </c>
      <c r="K11" s="673">
        <f>J11/J$15*100</f>
        <v>100</v>
      </c>
    </row>
    <row r="12" spans="1:13" s="8" customFormat="1" ht="13.5" thickBot="1">
      <c r="A12" s="319" t="s">
        <v>77</v>
      </c>
      <c r="B12" s="320">
        <f>-('Plan GuV'!B7+'Plan GuV'!B8)/$L$12</f>
        <v>65000</v>
      </c>
      <c r="C12" s="321">
        <f>B12/B$15*100</f>
        <v>12.890435058788691</v>
      </c>
      <c r="D12" s="320">
        <f>-('Plan GuV'!D7+'Plan GuV'!D8)/4</f>
        <v>18795.192307692305</v>
      </c>
      <c r="E12" s="321">
        <f t="shared" si="0"/>
        <v>3.720790080653058</v>
      </c>
      <c r="F12" s="320">
        <f>-('Plan GuV'!F7+'Plan GuV'!F8)/4</f>
        <v>25701.557692307695</v>
      </c>
      <c r="G12" s="321">
        <f t="shared" si="0"/>
        <v>4.119431838182291</v>
      </c>
      <c r="H12" s="320">
        <f>-('Plan GuV'!H7+'Plan GuV'!H8)/4</f>
        <v>29667.556634615386</v>
      </c>
      <c r="I12" s="321">
        <f>H12/H$15*100</f>
        <v>2.706282124873213</v>
      </c>
      <c r="J12" s="320">
        <f>-('Plan GuV'!J7+'Plan GuV'!J8)/4</f>
        <v>36002.3762576923</v>
      </c>
      <c r="K12" s="321">
        <f>J12/J$15*100</f>
        <v>1.864630799053494</v>
      </c>
      <c r="L12" s="338">
        <v>1</v>
      </c>
      <c r="M12" s="324" t="s">
        <v>80</v>
      </c>
    </row>
    <row r="13" spans="1:13" s="8" customFormat="1" ht="13.5" thickBot="1">
      <c r="A13" s="319" t="s">
        <v>261</v>
      </c>
      <c r="B13" s="320">
        <f>'Plan GuV'!B6/$L$13</f>
        <v>79249.85427999999</v>
      </c>
      <c r="C13" s="321">
        <f>B13/B$15*100</f>
        <v>15.71638615407395</v>
      </c>
      <c r="D13" s="320">
        <f>'Plan GuV'!D6/$L$13</f>
        <v>101344.62746933334</v>
      </c>
      <c r="E13" s="321">
        <f t="shared" si="0"/>
        <v>20.062688289762622</v>
      </c>
      <c r="F13" s="320">
        <f>'Plan GuV'!F6/$L$13</f>
        <v>138208.69745706665</v>
      </c>
      <c r="G13" s="321">
        <f t="shared" si="0"/>
        <v>22.152015665133955</v>
      </c>
      <c r="H13" s="320">
        <f>'Plan GuV'!H6/$L$13</f>
        <v>231580.183464</v>
      </c>
      <c r="I13" s="321">
        <f>H13/H$15*100</f>
        <v>21.124803727592422</v>
      </c>
      <c r="J13" s="320">
        <f>'Plan GuV'!J6/$L$13</f>
        <v>319802.17100000003</v>
      </c>
      <c r="K13" s="321">
        <f>J13/J$15*100</f>
        <v>16.56315609232497</v>
      </c>
      <c r="L13" s="337">
        <v>6</v>
      </c>
      <c r="M13" s="324" t="s">
        <v>263</v>
      </c>
    </row>
    <row r="14" spans="1:12" s="8" customFormat="1" ht="13.5" thickBot="1">
      <c r="A14" s="319" t="s">
        <v>262</v>
      </c>
      <c r="B14" s="307">
        <v>360000</v>
      </c>
      <c r="C14" s="321">
        <f>B14/B$15*100</f>
        <v>71.39317878713736</v>
      </c>
      <c r="D14" s="307">
        <v>385000</v>
      </c>
      <c r="E14" s="321">
        <f t="shared" si="0"/>
        <v>76.21652162958432</v>
      </c>
      <c r="F14" s="307">
        <v>460000</v>
      </c>
      <c r="G14" s="321">
        <f t="shared" si="0"/>
        <v>73.72855249668375</v>
      </c>
      <c r="H14" s="307">
        <v>835000</v>
      </c>
      <c r="I14" s="321">
        <f>H14/H$15*100</f>
        <v>76.16891414753437</v>
      </c>
      <c r="J14" s="307">
        <v>1575000</v>
      </c>
      <c r="K14" s="321">
        <f>J14/J$15*100</f>
        <v>81.57221310862154</v>
      </c>
      <c r="L14" s="340"/>
    </row>
    <row r="15" spans="1:11" ht="13.5" thickBot="1">
      <c r="A15" s="36" t="s">
        <v>4</v>
      </c>
      <c r="B15" s="37">
        <f>+B6+B11</f>
        <v>504249.85427999997</v>
      </c>
      <c r="C15" s="38">
        <f>B15/B$15*100</f>
        <v>100</v>
      </c>
      <c r="D15" s="37">
        <f>+D6+D11</f>
        <v>505139.8197770256</v>
      </c>
      <c r="E15" s="38">
        <f t="shared" si="0"/>
        <v>100</v>
      </c>
      <c r="F15" s="37">
        <f>+F6+F11</f>
        <v>623910.2551493744</v>
      </c>
      <c r="G15" s="38">
        <f t="shared" si="0"/>
        <v>100</v>
      </c>
      <c r="H15" s="37">
        <f>+H6+H11</f>
        <v>1096247.7400986154</v>
      </c>
      <c r="I15" s="38">
        <f>H15/H$15*100</f>
        <v>100</v>
      </c>
      <c r="J15" s="37">
        <f>+J6+J11</f>
        <v>1930804.5472576923</v>
      </c>
      <c r="K15" s="38">
        <f>J15/J$15*100</f>
        <v>100</v>
      </c>
    </row>
    <row r="16" spans="1:11" s="8" customFormat="1" ht="13.5" thickTop="1">
      <c r="A16" s="26" t="s">
        <v>191</v>
      </c>
      <c r="B16" s="27">
        <f>B15-B31</f>
        <v>0</v>
      </c>
      <c r="C16" s="28"/>
      <c r="D16" s="27">
        <f>D15-D31</f>
        <v>0</v>
      </c>
      <c r="E16" s="28"/>
      <c r="F16" s="27">
        <f>F15-F31</f>
        <v>0</v>
      </c>
      <c r="G16" s="28"/>
      <c r="H16" s="27">
        <f>H15-H31</f>
        <v>0</v>
      </c>
      <c r="I16" s="28"/>
      <c r="J16" s="27">
        <f>J15-J31</f>
        <v>0</v>
      </c>
      <c r="K16" s="28"/>
    </row>
    <row r="17" s="8" customFormat="1" ht="13.5" thickBot="1">
      <c r="J17" s="11"/>
    </row>
    <row r="18" spans="1:11" ht="12.75">
      <c r="A18" s="514" t="s">
        <v>6</v>
      </c>
      <c r="B18" s="868">
        <v>2008</v>
      </c>
      <c r="C18" s="869"/>
      <c r="D18" s="868">
        <v>2009</v>
      </c>
      <c r="E18" s="869"/>
      <c r="F18" s="868">
        <v>2010</v>
      </c>
      <c r="G18" s="869"/>
      <c r="H18" s="868">
        <v>2011</v>
      </c>
      <c r="I18" s="869"/>
      <c r="J18" s="868">
        <v>2012</v>
      </c>
      <c r="K18" s="869"/>
    </row>
    <row r="19" spans="1:11" ht="13.5" thickBot="1">
      <c r="A19" s="515"/>
      <c r="B19" s="516" t="s">
        <v>68</v>
      </c>
      <c r="C19" s="517" t="s">
        <v>62</v>
      </c>
      <c r="D19" s="516" t="s">
        <v>68</v>
      </c>
      <c r="E19" s="517" t="s">
        <v>62</v>
      </c>
      <c r="F19" s="516" t="s">
        <v>68</v>
      </c>
      <c r="G19" s="517" t="s">
        <v>62</v>
      </c>
      <c r="H19" s="516" t="s">
        <v>68</v>
      </c>
      <c r="I19" s="517" t="s">
        <v>62</v>
      </c>
      <c r="J19" s="516" t="s">
        <v>68</v>
      </c>
      <c r="K19" s="517" t="s">
        <v>62</v>
      </c>
    </row>
    <row r="20" spans="1:11" s="8" customFormat="1" ht="12.75">
      <c r="A20" s="523" t="s">
        <v>45</v>
      </c>
      <c r="B20" s="664">
        <f>SUM(B21:B23)</f>
        <v>160402.82102583896</v>
      </c>
      <c r="C20" s="665">
        <f>B20/B$31*100</f>
        <v>31.810186887385882</v>
      </c>
      <c r="D20" s="666">
        <f>SUM(D21:D23)</f>
        <v>193832.90871000523</v>
      </c>
      <c r="E20" s="667">
        <f>D20/D$31*100</f>
        <v>38.372130075899626</v>
      </c>
      <c r="F20" s="666">
        <f>SUM(F21:F23)</f>
        <v>346837.96748916263</v>
      </c>
      <c r="G20" s="667">
        <f>F20/F$31*100</f>
        <v>55.59100281275613</v>
      </c>
      <c r="H20" s="666">
        <f>SUM(H21:H23)</f>
        <v>850515.5423170028</v>
      </c>
      <c r="I20" s="667">
        <f>H20/H$31*100</f>
        <v>77.58424589687115</v>
      </c>
      <c r="J20" s="664">
        <f>SUM(J21:J23)</f>
        <v>1720951.0571492338</v>
      </c>
      <c r="K20" s="665">
        <f>J20/J$31*100</f>
        <v>89.13129294176814</v>
      </c>
    </row>
    <row r="21" spans="1:11" s="8" customFormat="1" ht="12.75">
      <c r="A21" s="526" t="s">
        <v>8</v>
      </c>
      <c r="B21" s="307">
        <v>35000</v>
      </c>
      <c r="C21" s="524">
        <f>B21/B$31*100</f>
        <v>6.941003493193911</v>
      </c>
      <c r="D21" s="525">
        <f>B21</f>
        <v>35000</v>
      </c>
      <c r="E21" s="524">
        <f>D21/D$31*100</f>
        <v>6.928774693598575</v>
      </c>
      <c r="F21" s="525">
        <f>B21</f>
        <v>35000</v>
      </c>
      <c r="G21" s="524">
        <f>F21/F$31*100</f>
        <v>5.609781168225937</v>
      </c>
      <c r="H21" s="525">
        <f>B21</f>
        <v>35000</v>
      </c>
      <c r="I21" s="524">
        <f>H21/H$31*100</f>
        <v>3.1927089762439556</v>
      </c>
      <c r="J21" s="525">
        <f>B21</f>
        <v>35000</v>
      </c>
      <c r="K21" s="524">
        <f>J21/J$31*100</f>
        <v>1.8127158468582563</v>
      </c>
    </row>
    <row r="22" spans="1:12" s="8" customFormat="1" ht="12.75">
      <c r="A22" s="535" t="s">
        <v>260</v>
      </c>
      <c r="B22" s="307">
        <v>190000</v>
      </c>
      <c r="C22" s="524">
        <f>B22/B$31*100</f>
        <v>37.67973324876694</v>
      </c>
      <c r="D22" s="527">
        <f>B22</f>
        <v>190000</v>
      </c>
      <c r="E22" s="524">
        <f>D22/D$31*100</f>
        <v>37.61334833667797</v>
      </c>
      <c r="F22" s="527">
        <f>B22</f>
        <v>190000</v>
      </c>
      <c r="G22" s="524">
        <f>F22/F$31*100</f>
        <v>30.453097770369375</v>
      </c>
      <c r="H22" s="527">
        <f>B22</f>
        <v>190000</v>
      </c>
      <c r="I22" s="524">
        <f>H22/H$31*100</f>
        <v>17.33184872818147</v>
      </c>
      <c r="J22" s="525">
        <f>B22</f>
        <v>190000</v>
      </c>
      <c r="K22" s="524">
        <f>J22/J$31*100</f>
        <v>9.840457454373391</v>
      </c>
      <c r="L22" s="344"/>
    </row>
    <row r="23" spans="1:11" s="8" customFormat="1" ht="15" customHeight="1">
      <c r="A23" s="526" t="s">
        <v>9</v>
      </c>
      <c r="B23" s="525">
        <f>+'Plan GuV'!B23</f>
        <v>-64597.178974161034</v>
      </c>
      <c r="C23" s="524">
        <f>B23/B$31*100</f>
        <v>-12.81054985457497</v>
      </c>
      <c r="D23" s="525">
        <f>+B23+'Plan GuV'!D23</f>
        <v>-31167.091289994765</v>
      </c>
      <c r="E23" s="524">
        <f>D23/D$31*100</f>
        <v>-6.169992954376922</v>
      </c>
      <c r="F23" s="525">
        <f>+D23+'Plan GuV'!F23</f>
        <v>121837.96748916263</v>
      </c>
      <c r="G23" s="524">
        <f>F23/F$31*100</f>
        <v>19.528123874160816</v>
      </c>
      <c r="H23" s="525">
        <f>+F23+'Plan GuV'!H23</f>
        <v>625515.5423170028</v>
      </c>
      <c r="I23" s="524">
        <f>H23/H$31*100</f>
        <v>57.059688192445726</v>
      </c>
      <c r="J23" s="525">
        <f>+H23+'Plan GuV'!J23</f>
        <v>1495951.0571492338</v>
      </c>
      <c r="K23" s="524">
        <f>J23/J$31*100</f>
        <v>77.47811964053649</v>
      </c>
    </row>
    <row r="24" spans="1:11" s="8" customFormat="1" ht="2.25" customHeight="1">
      <c r="A24" s="341"/>
      <c r="B24" s="18"/>
      <c r="C24" s="19"/>
      <c r="D24" s="18"/>
      <c r="E24" s="19"/>
      <c r="F24" s="18"/>
      <c r="G24" s="19"/>
      <c r="H24" s="18"/>
      <c r="I24" s="19"/>
      <c r="J24" s="18"/>
      <c r="K24" s="19"/>
    </row>
    <row r="25" spans="1:11" s="8" customFormat="1" ht="12.75">
      <c r="A25" s="528" t="s">
        <v>7</v>
      </c>
      <c r="B25" s="668">
        <f>SUM(B26:B30)</f>
        <v>343847.033254161</v>
      </c>
      <c r="C25" s="669">
        <f>B25/B$31*100</f>
        <v>68.18981311261412</v>
      </c>
      <c r="D25" s="668">
        <f>SUM(D26:D30)</f>
        <v>311306.9110670204</v>
      </c>
      <c r="E25" s="669">
        <f aca="true" t="shared" si="1" ref="E25:E30">D25/D$31*100</f>
        <v>61.627869924100374</v>
      </c>
      <c r="F25" s="668">
        <f>SUM(F26:F30)</f>
        <v>277072.28766021173</v>
      </c>
      <c r="G25" s="669">
        <f aca="true" t="shared" si="2" ref="G25:G31">F25/F$31*100</f>
        <v>44.40899718724387</v>
      </c>
      <c r="H25" s="668">
        <f>SUM(H26:H30)</f>
        <v>245732.19778161263</v>
      </c>
      <c r="I25" s="669">
        <f aca="true" t="shared" si="3" ref="I25:I30">H25/H$31*100</f>
        <v>22.415754103128847</v>
      </c>
      <c r="J25" s="668">
        <f>SUM(J26:J30)</f>
        <v>209853.49010845856</v>
      </c>
      <c r="K25" s="669">
        <f aca="true" t="shared" si="4" ref="K25:K30">J25/J$31*100</f>
        <v>10.868707058231863</v>
      </c>
    </row>
    <row r="26" spans="1:11" s="8" customFormat="1" ht="13.5" thickBot="1">
      <c r="A26" s="534" t="s">
        <v>10</v>
      </c>
      <c r="B26" s="307">
        <v>2000</v>
      </c>
      <c r="C26" s="529">
        <f aca="true" t="shared" si="5" ref="C26:C31">B26/B$31*100</f>
        <v>0.396628771039652</v>
      </c>
      <c r="D26" s="307">
        <v>3000</v>
      </c>
      <c r="E26" s="529">
        <f t="shared" si="1"/>
        <v>0.5938949737370207</v>
      </c>
      <c r="F26" s="307">
        <v>3000</v>
      </c>
      <c r="G26" s="529">
        <f t="shared" si="2"/>
        <v>0.4808383858479375</v>
      </c>
      <c r="H26" s="307">
        <v>3000</v>
      </c>
      <c r="I26" s="529">
        <f t="shared" si="3"/>
        <v>0.273660769392339</v>
      </c>
      <c r="J26" s="307">
        <v>3000</v>
      </c>
      <c r="K26" s="529">
        <f t="shared" si="4"/>
        <v>0.15537564401642195</v>
      </c>
    </row>
    <row r="27" spans="1:13" s="8" customFormat="1" ht="13.5" thickBot="1">
      <c r="A27" s="534" t="s">
        <v>11</v>
      </c>
      <c r="B27" s="531">
        <f>-('Plan GuV'!B7+'Plan GuV'!B8)/$L$27</f>
        <v>5416.666666666667</v>
      </c>
      <c r="C27" s="529">
        <f t="shared" si="5"/>
        <v>1.0742029215657243</v>
      </c>
      <c r="D27" s="531">
        <f>-('Plan GuV'!D7+'Plan GuV'!D8)/$L$27</f>
        <v>6265.064102564102</v>
      </c>
      <c r="E27" s="529">
        <f t="shared" si="1"/>
        <v>1.2402633602176862</v>
      </c>
      <c r="F27" s="531">
        <f>-('Plan GuV'!F7+'Plan GuV'!F8)/$L$27</f>
        <v>8567.185897435898</v>
      </c>
      <c r="G27" s="529">
        <f t="shared" si="2"/>
        <v>1.3731439460607637</v>
      </c>
      <c r="H27" s="531">
        <f>-('Plan GuV'!H7+'Plan GuV'!H8)/$L$27</f>
        <v>9889.185544871796</v>
      </c>
      <c r="I27" s="529">
        <f t="shared" si="3"/>
        <v>0.9020940416244044</v>
      </c>
      <c r="J27" s="531">
        <f>-('Plan GuV'!J7+'Plan GuV'!J8)/$L$27</f>
        <v>12000.792085897434</v>
      </c>
      <c r="K27" s="529">
        <f t="shared" si="4"/>
        <v>0.6215435996844979</v>
      </c>
      <c r="L27" s="338">
        <v>12</v>
      </c>
      <c r="M27" s="339" t="s">
        <v>263</v>
      </c>
    </row>
    <row r="28" spans="1:13" s="8" customFormat="1" ht="13.5" thickBot="1">
      <c r="A28" s="534" t="s">
        <v>12</v>
      </c>
      <c r="B28" s="307">
        <f>-'Plan GuV'!B9/14*'Plan Bilanz'!$L$28</f>
        <v>0</v>
      </c>
      <c r="C28" s="529">
        <f t="shared" si="5"/>
        <v>0</v>
      </c>
      <c r="D28" s="307">
        <f>-'Plan GuV'!D9/14*'Plan Bilanz'!$L$28</f>
        <v>0</v>
      </c>
      <c r="E28" s="529">
        <f t="shared" si="1"/>
        <v>0</v>
      </c>
      <c r="F28" s="307">
        <f>-'Plan GuV'!F9/14*'Plan Bilanz'!$L$28</f>
        <v>0</v>
      </c>
      <c r="G28" s="529">
        <f t="shared" si="2"/>
        <v>0</v>
      </c>
      <c r="H28" s="307">
        <f>-'Plan GuV'!H9/14*'Plan Bilanz'!$L$28</f>
        <v>0</v>
      </c>
      <c r="I28" s="529">
        <f t="shared" si="3"/>
        <v>0</v>
      </c>
      <c r="J28" s="307">
        <f>-'Plan GuV'!J9/14*'Plan Bilanz'!$L$28</f>
        <v>0</v>
      </c>
      <c r="K28" s="529">
        <f t="shared" si="4"/>
        <v>0</v>
      </c>
      <c r="L28" s="342"/>
      <c r="M28" s="343"/>
    </row>
    <row r="29" spans="1:15" ht="13.5" thickBot="1">
      <c r="A29" s="536" t="s">
        <v>366</v>
      </c>
      <c r="B29" s="307">
        <v>330000</v>
      </c>
      <c r="C29" s="529">
        <f t="shared" si="5"/>
        <v>65.44374722154258</v>
      </c>
      <c r="D29" s="533">
        <f>B29/N29*(N29-1)</f>
        <v>293333.3333333333</v>
      </c>
      <c r="E29" s="529">
        <f t="shared" si="1"/>
        <v>58.06973076539757</v>
      </c>
      <c r="F29" s="533">
        <f>D29-(B29-D29)</f>
        <v>256666.66666666663</v>
      </c>
      <c r="G29" s="529">
        <f t="shared" si="2"/>
        <v>41.138395233656865</v>
      </c>
      <c r="H29" s="533">
        <f>F29-(D29-F29)</f>
        <v>219999.99999999994</v>
      </c>
      <c r="I29" s="529">
        <f t="shared" si="3"/>
        <v>20.06845642210486</v>
      </c>
      <c r="J29" s="531">
        <f>H29-(F29-H29)</f>
        <v>183333.33333333326</v>
      </c>
      <c r="K29" s="529">
        <f t="shared" si="4"/>
        <v>9.495178245448004</v>
      </c>
      <c r="L29" s="322">
        <v>0.025</v>
      </c>
      <c r="M29" s="324" t="s">
        <v>249</v>
      </c>
      <c r="N29" s="356">
        <v>9</v>
      </c>
      <c r="O29" s="324" t="s">
        <v>247</v>
      </c>
    </row>
    <row r="30" spans="1:13" ht="13.5" thickBot="1">
      <c r="A30" s="534" t="s">
        <v>217</v>
      </c>
      <c r="B30" s="532">
        <f>IF(B15-B20-B26-B27-B28-B29&gt;0,B15-B20-B26-B27-B28-B29,0)</f>
        <v>6430.366587494325</v>
      </c>
      <c r="C30" s="530">
        <f t="shared" si="5"/>
        <v>1.2752341984661577</v>
      </c>
      <c r="D30" s="531">
        <f>IF(D15-D20-D26-D27-D28-D29&gt;0,D15-D20-D26-D27-D28-D29,0)</f>
        <v>8708.513631122943</v>
      </c>
      <c r="E30" s="529">
        <f t="shared" si="1"/>
        <v>1.7239808247480826</v>
      </c>
      <c r="F30" s="531">
        <f>IF(F15-F20-F26-F27-F28-F29&gt;0,F15-F20-F26-F27-F28-F29,0)</f>
        <v>8838.435096109228</v>
      </c>
      <c r="G30" s="529">
        <f t="shared" si="2"/>
        <v>1.4166196216783071</v>
      </c>
      <c r="H30" s="531">
        <f>IF(H15-H20-H26-H27-H28-H29&gt;0,H15-H20-H26-H27-H28-H29,0)</f>
        <v>12843.012236740906</v>
      </c>
      <c r="I30" s="529">
        <f t="shared" si="3"/>
        <v>1.171542870007247</v>
      </c>
      <c r="J30" s="532">
        <f>IF(J15-J20-J26-J27-J28-J29&gt;0,J15-J20-J26-J27-J28-J29,0)</f>
        <v>11519.364689227863</v>
      </c>
      <c r="K30" s="530">
        <f t="shared" si="4"/>
        <v>0.5966095690829366</v>
      </c>
      <c r="L30" s="322">
        <v>0.05</v>
      </c>
      <c r="M30" s="324" t="s">
        <v>248</v>
      </c>
    </row>
    <row r="31" spans="1:11" ht="13.5" thickBot="1">
      <c r="A31" s="607" t="s">
        <v>4</v>
      </c>
      <c r="B31" s="609">
        <f>+B20+B25</f>
        <v>504249.85427999997</v>
      </c>
      <c r="C31" s="610">
        <f t="shared" si="5"/>
        <v>100</v>
      </c>
      <c r="D31" s="608">
        <f>+D20+D25</f>
        <v>505139.8197770256</v>
      </c>
      <c r="E31" s="38">
        <f>D31/D$15*100</f>
        <v>100</v>
      </c>
      <c r="F31" s="37">
        <f>+F20+F25</f>
        <v>623910.2551493744</v>
      </c>
      <c r="G31" s="38">
        <f t="shared" si="2"/>
        <v>100</v>
      </c>
      <c r="H31" s="37">
        <f>+H20+H25</f>
        <v>1096247.7400986154</v>
      </c>
      <c r="I31" s="38">
        <f>H31/H$31*100</f>
        <v>100</v>
      </c>
      <c r="J31" s="37">
        <f>+J20+J25</f>
        <v>1930804.5472576923</v>
      </c>
      <c r="K31" s="38">
        <f>J31/J$31*100</f>
        <v>100</v>
      </c>
    </row>
    <row r="32" ht="6.75" customHeight="1" thickTop="1"/>
    <row r="33" ht="5.25" customHeight="1"/>
    <row r="34" ht="5.25" customHeight="1"/>
    <row r="35" spans="1:2" ht="25.5">
      <c r="A35" s="789" t="s">
        <v>377</v>
      </c>
      <c r="B35" s="790">
        <f>(B21+B22)/(B21+B22+B26+B28+B29)</f>
        <v>0.40394973070017953</v>
      </c>
    </row>
  </sheetData>
  <mergeCells count="11">
    <mergeCell ref="J18:K18"/>
    <mergeCell ref="B18:C18"/>
    <mergeCell ref="D18:E18"/>
    <mergeCell ref="F18:G18"/>
    <mergeCell ref="H18:I18"/>
    <mergeCell ref="H4:I4"/>
    <mergeCell ref="A2:D2"/>
    <mergeCell ref="J4:K4"/>
    <mergeCell ref="B4:C4"/>
    <mergeCell ref="D4:E4"/>
    <mergeCell ref="F4:G4"/>
  </mergeCells>
  <printOptions/>
  <pageMargins left="0.75" right="0.75" top="1" bottom="1" header="0.4921259845" footer="0.4921259845"/>
  <pageSetup fitToHeight="0" horizontalDpi="600" verticalDpi="600" orientation="landscape" paperSize="9" scale="85" r:id="rId1"/>
  <colBreaks count="1" manualBreakCount="1">
    <brk id="12" max="34" man="1"/>
  </colBreaks>
  <ignoredErrors>
    <ignoredError sqref="C20:J31 C6:C15 D15 D6:D13 E6:E15 F15 F6:F13 G6:G15 H15 H6:H13 I6:I15 K6:K15 J6:J13 J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T11"/>
  <sheetViews>
    <sheetView zoomScale="75" zoomScaleNormal="75" workbookViewId="0" topLeftCell="A1">
      <selection activeCell="F39" sqref="F39"/>
    </sheetView>
  </sheetViews>
  <sheetFormatPr defaultColWidth="11.00390625" defaultRowHeight="12.75"/>
  <cols>
    <col min="1" max="1" width="34.50390625" style="0" customWidth="1"/>
    <col min="7" max="7" width="13.25390625" style="0" customWidth="1"/>
    <col min="8" max="8" width="12.125" style="0" customWidth="1"/>
    <col min="9" max="9" width="13.625" style="0" customWidth="1"/>
    <col min="10" max="10" width="12.125" style="0" customWidth="1"/>
    <col min="11" max="11" width="9.625" style="0" customWidth="1"/>
    <col min="12" max="12" width="5.125" style="0" customWidth="1"/>
    <col min="13" max="13" width="6.625" style="0" customWidth="1"/>
    <col min="14" max="14" width="4.875" style="0" customWidth="1"/>
    <col min="15" max="15" width="6.625" style="0" customWidth="1"/>
    <col min="16" max="16" width="5.375" style="0" customWidth="1"/>
    <col min="17" max="17" width="6.625" style="0" customWidth="1"/>
    <col min="18" max="18" width="5.375" style="0" customWidth="1"/>
    <col min="19" max="19" width="6.625" style="0" customWidth="1"/>
    <col min="20" max="20" width="5.50390625" style="0" customWidth="1"/>
  </cols>
  <sheetData>
    <row r="1" spans="1:11" ht="16.5" thickBot="1">
      <c r="A1" s="863" t="s">
        <v>264</v>
      </c>
      <c r="B1" s="864"/>
      <c r="C1" s="864"/>
      <c r="D1" s="865"/>
      <c r="H1" s="863" t="s">
        <v>269</v>
      </c>
      <c r="I1" s="864"/>
      <c r="J1" s="864"/>
      <c r="K1" s="865"/>
    </row>
    <row r="2" spans="1:20" ht="12.75">
      <c r="A2" t="s">
        <v>267</v>
      </c>
      <c r="B2" s="872" t="s">
        <v>218</v>
      </c>
      <c r="C2" s="872"/>
      <c r="D2" s="872"/>
      <c r="E2" s="872"/>
      <c r="F2" s="872"/>
      <c r="K2" s="870">
        <v>2008</v>
      </c>
      <c r="L2" s="871"/>
      <c r="M2" s="870">
        <v>2009</v>
      </c>
      <c r="N2" s="871"/>
      <c r="O2" s="870">
        <v>2010</v>
      </c>
      <c r="P2" s="871"/>
      <c r="Q2" s="870">
        <v>2011</v>
      </c>
      <c r="R2" s="871"/>
      <c r="S2" s="870">
        <v>2012</v>
      </c>
      <c r="T2" s="871"/>
    </row>
    <row r="3" spans="2:20" ht="26.25" thickBot="1">
      <c r="B3" s="345">
        <v>2008</v>
      </c>
      <c r="C3" s="345">
        <v>2009</v>
      </c>
      <c r="D3" s="345">
        <v>2010</v>
      </c>
      <c r="E3" s="345">
        <v>2011</v>
      </c>
      <c r="F3" s="345">
        <v>2012</v>
      </c>
      <c r="I3" s="359" t="s">
        <v>219</v>
      </c>
      <c r="J3" s="360" t="s">
        <v>232</v>
      </c>
      <c r="K3" s="357" t="s">
        <v>230</v>
      </c>
      <c r="L3" s="361" t="s">
        <v>231</v>
      </c>
      <c r="M3" s="357" t="s">
        <v>230</v>
      </c>
      <c r="N3" s="361" t="s">
        <v>231</v>
      </c>
      <c r="O3" s="357" t="s">
        <v>230</v>
      </c>
      <c r="P3" s="361" t="s">
        <v>231</v>
      </c>
      <c r="Q3" s="357" t="s">
        <v>230</v>
      </c>
      <c r="R3" s="361" t="s">
        <v>231</v>
      </c>
      <c r="S3" s="357" t="s">
        <v>230</v>
      </c>
      <c r="T3" s="362" t="s">
        <v>231</v>
      </c>
    </row>
    <row r="4" spans="1:20" ht="25.5">
      <c r="A4" s="537" t="s">
        <v>66</v>
      </c>
      <c r="B4" s="538">
        <f>'Plan GuV'!B23</f>
        <v>-64597.178974161034</v>
      </c>
      <c r="C4" s="538">
        <f>'Plan GuV'!D23</f>
        <v>33430.08768416627</v>
      </c>
      <c r="D4" s="538">
        <f>'Plan GuV'!F23</f>
        <v>153005.0587791574</v>
      </c>
      <c r="E4" s="538">
        <f>'Plan GuV'!H23</f>
        <v>503677.5748278401</v>
      </c>
      <c r="F4" s="538">
        <f>'Plan GuV'!J23</f>
        <v>870435.5148322309</v>
      </c>
      <c r="H4" s="873" t="s">
        <v>221</v>
      </c>
      <c r="I4" s="363" t="s">
        <v>225</v>
      </c>
      <c r="J4" s="364" t="s">
        <v>226</v>
      </c>
      <c r="K4" s="375">
        <f>'Plan Bilanz'!B20/('Plan Bilanz'!B20+'Plan Bilanz'!B25)</f>
        <v>0.31810186887385883</v>
      </c>
      <c r="L4" s="365">
        <f>IF(K4&lt;0,5,IF(K4&lt;0.1,4,IF(K4&lt;0.2,3,IF(K4&lt;0.3,2,1))))</f>
        <v>1</v>
      </c>
      <c r="M4" s="375">
        <f>'Plan Bilanz'!D20/('Plan Bilanz'!D20+'Plan Bilanz'!D25)</f>
        <v>0.3837213007589963</v>
      </c>
      <c r="N4" s="365">
        <f>IF(M4&lt;0,5,IF(M4&lt;0.1,4,IF(M4&lt;0.2,3,IF(M4&lt;0.3,2,1))))</f>
        <v>1</v>
      </c>
      <c r="O4" s="375">
        <f>'Plan Bilanz'!F20/('Plan Bilanz'!F20+'Plan Bilanz'!F25)</f>
        <v>0.5559100281275613</v>
      </c>
      <c r="P4" s="365">
        <f>IF(O4&lt;0,5,IF(O4&lt;0.1,4,IF(O4&lt;0.2,3,IF(O4&lt;0.3,2,1))))</f>
        <v>1</v>
      </c>
      <c r="Q4" s="375">
        <f>'Plan Bilanz'!H20/('Plan Bilanz'!H20+'Plan Bilanz'!H25)</f>
        <v>0.7758424589687115</v>
      </c>
      <c r="R4" s="365">
        <f>IF(Q4&lt;0,5,IF(Q4&lt;0.1,4,IF(Q4&lt;0.2,3,IF(Q4&lt;0.3,2,1))))</f>
        <v>1</v>
      </c>
      <c r="S4" s="375">
        <f>'Plan Bilanz'!J20/('Plan Bilanz'!J20+'Plan Bilanz'!J25)</f>
        <v>0.8913129294176814</v>
      </c>
      <c r="T4" s="365">
        <f>IF(S4&lt;0,5,IF(S4&lt;0.1,4,IF(S4&lt;0.2,3,IF(S4&lt;0.3,2,1))))</f>
        <v>1</v>
      </c>
    </row>
    <row r="5" spans="1:20" ht="26.25" thickBot="1">
      <c r="A5" s="539" t="s">
        <v>212</v>
      </c>
      <c r="B5" s="540">
        <f>-'Plan GuV'!B11</f>
        <v>0</v>
      </c>
      <c r="C5" s="540">
        <f>-'Plan GuV'!D11</f>
        <v>0</v>
      </c>
      <c r="D5" s="540">
        <f>-'Plan GuV'!F11</f>
        <v>0</v>
      </c>
      <c r="E5" s="540">
        <f>-'Plan GuV'!H11</f>
        <v>0</v>
      </c>
      <c r="F5" s="540">
        <f>-'Plan GuV'!J11</f>
        <v>0</v>
      </c>
      <c r="H5" s="874"/>
      <c r="I5" s="366" t="s">
        <v>224</v>
      </c>
      <c r="J5" s="367" t="s">
        <v>227</v>
      </c>
      <c r="K5" s="447" t="str">
        <f>IF(B6&lt;0,"Cash-Flow negativ!",('Plan Bilanz'!B25-'Plan Bilanz'!B14)/'Cash Flow u. Kennzahlen'!B6)</f>
        <v>Cash-Flow negativ!</v>
      </c>
      <c r="L5" s="369">
        <f>IF(K5&lt;3,1,IF(K5&lt;5,2,IF(K5&lt;12,3,IF(K5&lt;30,4,5))))</f>
        <v>5</v>
      </c>
      <c r="M5" s="368">
        <f>IF(C6&lt;0,"Cash-Flow negativ!",('Plan Bilanz'!D25-'Plan Bilanz'!D14)/'Cash Flow u. Kennzahlen'!C6)</f>
        <v>-2.204394126309259</v>
      </c>
      <c r="N5" s="369">
        <f>IF(M5&lt;3,1,IF(M5&lt;5,2,IF(M5&lt;12,3,IF(M5&lt;30,4,5))))</f>
        <v>1</v>
      </c>
      <c r="O5" s="368">
        <f>IF(D6&lt;0,"Cash-Flow negativ!",('Plan Bilanz'!F25-'Plan Bilanz'!F14)/'Cash Flow u. Kennzahlen'!D6)</f>
        <v>-1.1955664328969688</v>
      </c>
      <c r="P5" s="369">
        <f>IF(O5&lt;3,1,IF(O5&lt;5,2,IF(O5&lt;12,3,IF(O5&lt;30,4,5))))</f>
        <v>1</v>
      </c>
      <c r="Q5" s="368">
        <f>IF(E6&lt;0,"Cash-Flow negativ!",('Plan Bilanz'!H25-'Plan Bilanz'!H14)/'Cash Flow u. Kennzahlen'!E6)</f>
        <v>-1.1699305898615846</v>
      </c>
      <c r="R5" s="369">
        <f>IF(Q5&lt;3,1,IF(Q5&lt;5,2,IF(Q5&lt;12,3,IF(Q5&lt;30,4,5))))</f>
        <v>1</v>
      </c>
      <c r="S5" s="368">
        <f>IF(F6&lt;0,"Cash-Flow negativ!",('Plan Bilanz'!J25-'Plan Bilanz'!J14)/'Cash Flow u. Kennzahlen'!F6)</f>
        <v>-1.568348816919151</v>
      </c>
      <c r="T5" s="369">
        <f>IF(S5&lt;3,1,IF(S5&lt;5,2,IF(S5&lt;12,3,IF(S5&lt;30,4,5))))</f>
        <v>1</v>
      </c>
    </row>
    <row r="6" spans="1:20" ht="25.5">
      <c r="A6" s="541" t="s">
        <v>214</v>
      </c>
      <c r="B6" s="542">
        <f>SUM(B4:B5)</f>
        <v>-64597.178974161034</v>
      </c>
      <c r="C6" s="542">
        <f>SUM(C4:C5)</f>
        <v>33430.08768416627</v>
      </c>
      <c r="D6" s="542">
        <f>SUM(D4:D5)</f>
        <v>153005.0587791574</v>
      </c>
      <c r="E6" s="542">
        <f>SUM(E4:E5)</f>
        <v>503677.5748278401</v>
      </c>
      <c r="F6" s="542">
        <f>SUM(F4:F5)</f>
        <v>870435.5148322309</v>
      </c>
      <c r="H6" s="875" t="s">
        <v>222</v>
      </c>
      <c r="I6" s="370" t="s">
        <v>223</v>
      </c>
      <c r="J6" s="371" t="s">
        <v>228</v>
      </c>
      <c r="K6" s="376">
        <f>('Plan GuV'!B21+Betriebsaufwand!D6)/('Plan Bilanz'!B20+'Plan Bilanz'!B25)</f>
        <v>-0.11110694464113097</v>
      </c>
      <c r="L6" s="372">
        <f>IF(K6&lt;0,5,IF(K6&lt;0.07,4,IF(K6&lt;0.1,3,IF(K6&lt;0.12,2,1))))</f>
        <v>5</v>
      </c>
      <c r="M6" s="376">
        <f>('Plan GuV'!D21+Betriebsaufwand!E6)/('Plan Bilanz'!D20+'Plan Bilanz'!D25)</f>
        <v>0.1036192499802311</v>
      </c>
      <c r="N6" s="372">
        <f>IF(M6&lt;0,5,IF(M6&lt;0.07,4,IF(M6&lt;0.1,3,IF(M6&lt;0.12,2,1))))</f>
        <v>2</v>
      </c>
      <c r="O6" s="376">
        <f>('Plan GuV'!F21+Betriebsaufwand!F6)/('Plan Bilanz'!F20+'Plan Bilanz'!F25)</f>
        <v>0.33797382190787045</v>
      </c>
      <c r="P6" s="372">
        <f>IF(O6&lt;0,5,IF(O6&lt;0.07,4,IF(O6&lt;0.1,3,IF(O6&lt;0.12,2,1))))</f>
        <v>1</v>
      </c>
      <c r="Q6" s="376">
        <f>('Plan GuV'!H21+Betriebsaufwand!G6)/('Plan Bilanz'!H20+'Plan Bilanz'!H25)</f>
        <v>0.618210852887437</v>
      </c>
      <c r="R6" s="372">
        <f>IF(Q6&lt;0,5,IF(Q6&lt;0.07,4,IF(Q6&lt;0.1,3,IF(Q6&lt;0.12,2,1))))</f>
        <v>1</v>
      </c>
      <c r="S6" s="376">
        <f>('Plan GuV'!J21+Betriebsaufwand!H6)/('Plan Bilanz'!J20+'Plan Bilanz'!J25)</f>
        <v>0.6037586713095643</v>
      </c>
      <c r="T6" s="372">
        <f>IF(S6&lt;0,5,IF(S6&lt;0.07,4,IF(S6&lt;0.1,3,IF(S6&lt;0.12,2,1))))</f>
        <v>1</v>
      </c>
    </row>
    <row r="7" spans="1:20" ht="26.25" thickBot="1">
      <c r="A7" s="313" t="s">
        <v>215</v>
      </c>
      <c r="B7" s="314">
        <f>B6</f>
        <v>-64597.178974161034</v>
      </c>
      <c r="C7" s="314">
        <f>C6+B7</f>
        <v>-31167.091289994765</v>
      </c>
      <c r="D7" s="314">
        <f>D6+C7</f>
        <v>121837.96748916263</v>
      </c>
      <c r="E7" s="314">
        <f>E6+D7</f>
        <v>625515.5423170028</v>
      </c>
      <c r="F7" s="314">
        <f>F6+E7</f>
        <v>1495951.0571492338</v>
      </c>
      <c r="H7" s="876"/>
      <c r="I7" s="373" t="s">
        <v>220</v>
      </c>
      <c r="J7" s="374" t="s">
        <v>229</v>
      </c>
      <c r="K7" s="377">
        <f>B6/'Plan GuV'!B6</f>
        <v>-0.13585130967755651</v>
      </c>
      <c r="L7" s="358">
        <f>IF(K7&lt;0,5,IF(K7&lt;0.05,4,IF(K7&lt;0.08,3,IF(K7&lt;10,2,1))))</f>
        <v>5</v>
      </c>
      <c r="M7" s="377">
        <f>C6/'Plan GuV'!D6</f>
        <v>0.05497756930805589</v>
      </c>
      <c r="N7" s="358">
        <f>IF(M7&lt;0,5,IF(M7&lt;0.05,4,IF(M7&lt;0.08,3,IF(M7&lt;10,2,1))))</f>
        <v>3</v>
      </c>
      <c r="O7" s="377">
        <f>D6/'Plan GuV'!F6</f>
        <v>0.1845096842605089</v>
      </c>
      <c r="P7" s="358">
        <f>IF(O7&lt;0,5,IF(O7&lt;0.05,4,IF(O7&lt;0.08,3,IF(O7&lt;10,2,1))))</f>
        <v>2</v>
      </c>
      <c r="Q7" s="377">
        <f>E6/'Plan GuV'!H6</f>
        <v>0.3624932894327568</v>
      </c>
      <c r="R7" s="358">
        <f>IF(Q7&lt;0,5,IF(Q7&lt;0.05,4,IF(Q7&lt;0.08,3,IF(Q7&lt;10,2,1))))</f>
        <v>2</v>
      </c>
      <c r="S7" s="377">
        <f>F6/'Plan GuV'!J6</f>
        <v>0.45363227320108407</v>
      </c>
      <c r="T7" s="358">
        <f>IF(S7&lt;0,5,IF(S7&lt;0.05,4,IF(S7&lt;0.08,3,IF(S7&lt;10,2,1))))</f>
        <v>2</v>
      </c>
    </row>
    <row r="8" spans="1:6" ht="12.75">
      <c r="A8" s="313" t="s">
        <v>213</v>
      </c>
      <c r="B8" s="314">
        <f>-SUM(Investitionen!E4:E26)</f>
        <v>0</v>
      </c>
      <c r="C8" s="314">
        <f>SUM(Investitionen!F4:F26)</f>
        <v>0</v>
      </c>
      <c r="D8" s="314">
        <f>SUM(Investitionen!G4:G26)</f>
        <v>0</v>
      </c>
      <c r="E8" s="314">
        <f>SUM(Investitionen!H4:H26)</f>
        <v>0</v>
      </c>
      <c r="F8" s="314">
        <f>SUM(Investitionen!I4:I26)</f>
        <v>0</v>
      </c>
    </row>
    <row r="9" spans="1:6" ht="12.75">
      <c r="A9" s="313" t="s">
        <v>216</v>
      </c>
      <c r="B9" s="314">
        <f>B6+B8</f>
        <v>-64597.178974161034</v>
      </c>
      <c r="C9" s="314">
        <f>C6-C8</f>
        <v>33430.08768416627</v>
      </c>
      <c r="D9" s="314">
        <f>D6-D8</f>
        <v>153005.0587791574</v>
      </c>
      <c r="E9" s="314">
        <f>E6-E8</f>
        <v>503677.5748278401</v>
      </c>
      <c r="F9" s="314">
        <f>F6-F8</f>
        <v>870435.5148322309</v>
      </c>
    </row>
    <row r="10" spans="1:6" ht="12.75">
      <c r="A10" s="543" t="s">
        <v>268</v>
      </c>
      <c r="B10" s="544">
        <f>B9</f>
        <v>-64597.178974161034</v>
      </c>
      <c r="C10" s="544">
        <f>B10+C9</f>
        <v>-31167.091289994765</v>
      </c>
      <c r="D10" s="544">
        <f>C10+D9</f>
        <v>121837.96748916263</v>
      </c>
      <c r="E10" s="544">
        <f>D10+E9</f>
        <v>625515.5423170028</v>
      </c>
      <c r="F10" s="544">
        <f>E10+F9</f>
        <v>1495951.0571492338</v>
      </c>
    </row>
    <row r="11" spans="2:6" ht="12.75">
      <c r="B11" s="345">
        <v>2008</v>
      </c>
      <c r="C11" s="345">
        <v>2009</v>
      </c>
      <c r="D11" s="345">
        <v>2010</v>
      </c>
      <c r="E11" s="345">
        <v>2011</v>
      </c>
      <c r="F11" s="345">
        <v>2012</v>
      </c>
    </row>
  </sheetData>
  <mergeCells count="10">
    <mergeCell ref="A1:D1"/>
    <mergeCell ref="M2:N2"/>
    <mergeCell ref="O2:P2"/>
    <mergeCell ref="Q2:R2"/>
    <mergeCell ref="H1:K1"/>
    <mergeCell ref="S2:T2"/>
    <mergeCell ref="B2:F2"/>
    <mergeCell ref="H4:H5"/>
    <mergeCell ref="H6:H7"/>
    <mergeCell ref="K2:L2"/>
  </mergeCells>
  <printOptions/>
  <pageMargins left="0.75" right="0.75" top="1" bottom="1" header="0.4921259845" footer="0.4921259845"/>
  <pageSetup horizontalDpi="600" verticalDpi="600" orientation="landscape" paperSize="9" scale="80" r:id="rId2"/>
  <rowBreaks count="1" manualBreakCount="1">
    <brk id="21" max="255" man="1"/>
  </rowBreaks>
  <colBreaks count="1" manualBreakCount="1">
    <brk id="7" max="65535" man="1"/>
  </colBreaks>
  <ignoredErrors>
    <ignoredError sqref="M4:M7 O4:S7" formula="1"/>
    <ignoredError sqref="C8:F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B1:P35"/>
  <sheetViews>
    <sheetView zoomScale="80" zoomScaleNormal="80" workbookViewId="0" topLeftCell="A1">
      <selection activeCell="L22" sqref="L22"/>
    </sheetView>
  </sheetViews>
  <sheetFormatPr defaultColWidth="11.00390625" defaultRowHeight="12.75"/>
  <cols>
    <col min="1" max="1" width="1.00390625" style="0" customWidth="1"/>
    <col min="2" max="2" width="13.125" style="0" customWidth="1"/>
    <col min="3" max="3" width="12.25390625" style="0" customWidth="1"/>
    <col min="4" max="4" width="12.875" style="0" customWidth="1"/>
    <col min="6" max="6" width="15.00390625" style="0" customWidth="1"/>
    <col min="7" max="7" width="13.00390625" style="0" customWidth="1"/>
    <col min="8" max="8" width="14.375" style="0" customWidth="1"/>
    <col min="9" max="9" width="11.75390625" style="0" customWidth="1"/>
    <col min="10" max="10" width="11.625" style="0" customWidth="1"/>
    <col min="12" max="12" width="12.125" style="0" customWidth="1"/>
    <col min="13" max="13" width="11.625" style="0" customWidth="1"/>
  </cols>
  <sheetData>
    <row r="1" spans="2:8" ht="39" customHeight="1" thickBot="1">
      <c r="B1" s="877" t="s">
        <v>339</v>
      </c>
      <c r="C1" s="878"/>
      <c r="D1" s="878"/>
      <c r="E1" s="878"/>
      <c r="F1" s="878"/>
      <c r="G1" s="878"/>
      <c r="H1" s="879"/>
    </row>
    <row r="2" spans="2:8" ht="50.25" customHeight="1">
      <c r="B2" s="883" t="s">
        <v>340</v>
      </c>
      <c r="C2" s="884"/>
      <c r="D2" s="884"/>
      <c r="E2" s="884"/>
      <c r="F2" s="884"/>
      <c r="G2" s="884"/>
      <c r="H2" s="884"/>
    </row>
    <row r="3" spans="6:8" ht="6.75" customHeight="1" thickBot="1">
      <c r="F3" s="378"/>
      <c r="G3" s="378"/>
      <c r="H3" s="378"/>
    </row>
    <row r="4" spans="2:16" ht="39" thickBot="1">
      <c r="B4" s="379" t="s">
        <v>57</v>
      </c>
      <c r="C4" s="592" t="s">
        <v>233</v>
      </c>
      <c r="D4" s="589" t="s">
        <v>390</v>
      </c>
      <c r="E4" s="589" t="s">
        <v>391</v>
      </c>
      <c r="F4" s="756" t="s">
        <v>392</v>
      </c>
      <c r="G4" s="770" t="s">
        <v>393</v>
      </c>
      <c r="H4" s="763" t="s">
        <v>394</v>
      </c>
      <c r="I4" s="380" t="s">
        <v>395</v>
      </c>
      <c r="J4" s="381"/>
      <c r="K4" s="400" t="s">
        <v>115</v>
      </c>
      <c r="L4" s="382" t="s">
        <v>234</v>
      </c>
      <c r="M4" s="383" t="s">
        <v>235</v>
      </c>
      <c r="N4" s="401" t="s">
        <v>236</v>
      </c>
      <c r="O4" s="454" t="s">
        <v>237</v>
      </c>
      <c r="P4" s="384" t="s">
        <v>113</v>
      </c>
    </row>
    <row r="5" spans="2:16" ht="12.75">
      <c r="B5" s="758" t="str">
        <f>Investitionen!D23</f>
        <v>Hammermühle</v>
      </c>
      <c r="C5" s="759">
        <f>Investitionen!C23</f>
        <v>10</v>
      </c>
      <c r="D5" s="760">
        <f>Investitionen!E23</f>
        <v>0</v>
      </c>
      <c r="E5" s="760">
        <f>'Leasing u. Miete'!C17/100*2.5</f>
        <v>1600</v>
      </c>
      <c r="F5" s="761">
        <f>D5/C5</f>
        <v>0</v>
      </c>
      <c r="G5" s="771">
        <f>'Leasing u. Miete'!H17</f>
        <v>8533.333333333332</v>
      </c>
      <c r="H5" s="762">
        <f>'Leasing u. Miete'!C17/100*1.5</f>
        <v>960</v>
      </c>
      <c r="I5" s="388">
        <f>SUM(E5:H5)</f>
        <v>11093.333333333332</v>
      </c>
      <c r="J5" s="386"/>
      <c r="K5" s="455">
        <f>I5/(D17+E17+F17+G17+H17)*D17</f>
        <v>781.2206572769952</v>
      </c>
      <c r="L5" s="456">
        <f>I5/(D17+E17+F17+G17+H17)*E17</f>
        <v>3124.882629107981</v>
      </c>
      <c r="M5" s="456">
        <f>I5/(H17+G17+F17+E17+D17)*F17</f>
        <v>6249.765258215962</v>
      </c>
      <c r="N5" s="456">
        <f>I5/(G17+F17+E17+D17+H17)*G17</f>
        <v>156.24413145539904</v>
      </c>
      <c r="O5" s="456">
        <f>I5/(H17+G17+F17+E17+D17)*H17</f>
        <v>781.2206572769952</v>
      </c>
      <c r="P5" s="389">
        <f>SUM(K5:O5)</f>
        <v>11093.333333333332</v>
      </c>
    </row>
    <row r="6" spans="2:16" ht="12.75">
      <c r="B6" s="390" t="str">
        <f>Investitionen!D24</f>
        <v>Stiftmühle</v>
      </c>
      <c r="C6" s="593">
        <f>Investitionen!C24</f>
        <v>10</v>
      </c>
      <c r="D6" s="590">
        <f>Investitionen!E24</f>
        <v>0</v>
      </c>
      <c r="E6" s="590">
        <f>'Leasing u. Miete'!C18/100*2.5</f>
        <v>1750</v>
      </c>
      <c r="F6" s="591">
        <f>D6/C6</f>
        <v>0</v>
      </c>
      <c r="G6" s="772">
        <f>'Leasing u. Miete'!H18</f>
        <v>9333.333333333334</v>
      </c>
      <c r="H6" s="757">
        <f>'Leasing u. Miete'!C18/100*1.5</f>
        <v>1050</v>
      </c>
      <c r="I6" s="388">
        <f>SUM(E6:H6)</f>
        <v>12133.333333333334</v>
      </c>
      <c r="J6" s="386"/>
      <c r="K6" s="391"/>
      <c r="L6" s="456">
        <f>I6/(E17+F17)*E17</f>
        <v>4044.4444444444443</v>
      </c>
      <c r="M6" s="456">
        <f>I6/(E17+F17)*F17</f>
        <v>8088.888888888889</v>
      </c>
      <c r="N6" s="387"/>
      <c r="O6" s="387"/>
      <c r="P6" s="389">
        <f>SUM(K6:O6)</f>
        <v>12133.333333333332</v>
      </c>
    </row>
    <row r="7" spans="2:16" ht="12.75">
      <c r="B7" s="390" t="str">
        <f>Investitionen!D25</f>
        <v>Siebturm</v>
      </c>
      <c r="C7" s="593">
        <f>Investitionen!C25</f>
        <v>10</v>
      </c>
      <c r="D7" s="590">
        <f>Investitionen!E25</f>
        <v>0</v>
      </c>
      <c r="E7" s="590">
        <f>'Leasing u. Miete'!C19/100*2.5</f>
        <v>250</v>
      </c>
      <c r="F7" s="591">
        <f>D7/C7</f>
        <v>0</v>
      </c>
      <c r="G7" s="772">
        <f>'Leasing u. Miete'!H19</f>
        <v>1333.3333333333335</v>
      </c>
      <c r="H7" s="757">
        <f>'Leasing u. Miete'!C19/100*1.5</f>
        <v>150</v>
      </c>
      <c r="I7" s="388">
        <f>SUM(E7:H7)</f>
        <v>1733.3333333333335</v>
      </c>
      <c r="J7" s="386"/>
      <c r="K7" s="455">
        <f>I7/(H17+G17+F17+E17+D17)*D17</f>
        <v>122.06572769953053</v>
      </c>
      <c r="L7" s="456">
        <f>I7/(H17+G17+F17+E17+D17)*E17</f>
        <v>488.2629107981221</v>
      </c>
      <c r="M7" s="456">
        <f>I7/(H17+G17+F17+E17+D17)*F17</f>
        <v>976.5258215962442</v>
      </c>
      <c r="N7" s="456">
        <f>I7/(H17+G17+F17+E17+D17)*G17</f>
        <v>24.413145539906104</v>
      </c>
      <c r="O7" s="456">
        <f>I7/(H17+G17+F17+E17+D17)*H17</f>
        <v>122.06572769953053</v>
      </c>
      <c r="P7" s="389">
        <f>SUM(K7:O7)</f>
        <v>1733.3333333333333</v>
      </c>
    </row>
    <row r="8" spans="2:16" ht="12.75">
      <c r="B8" s="390" t="str">
        <f>Investitionen!D26</f>
        <v>Absackanlage</v>
      </c>
      <c r="C8" s="593">
        <f>Investitionen!C26</f>
        <v>10</v>
      </c>
      <c r="D8" s="590">
        <f>Investitionen!E26</f>
        <v>0</v>
      </c>
      <c r="E8" s="590">
        <f>'Leasing u. Miete'!C20/100*2.5</f>
        <v>250</v>
      </c>
      <c r="F8" s="591">
        <f>D8/C8</f>
        <v>0</v>
      </c>
      <c r="G8" s="772">
        <f>'Leasing u. Miete'!H20</f>
        <v>1333.3333333333335</v>
      </c>
      <c r="H8" s="757">
        <f>'Leasing u. Miete'!C20/100*1.5</f>
        <v>150</v>
      </c>
      <c r="I8" s="388">
        <f>SUM(E8:H8)</f>
        <v>1733.3333333333335</v>
      </c>
      <c r="J8" s="386"/>
      <c r="K8" s="455">
        <f>I8/(H17+G17+F17+E17+D17)*D17</f>
        <v>122.06572769953053</v>
      </c>
      <c r="L8" s="456">
        <f>I8/(H17+G17+F17+E17+D17)*E17</f>
        <v>488.2629107981221</v>
      </c>
      <c r="M8" s="456">
        <f>I8/(H17+G17+F17+E17+D17)*F17</f>
        <v>976.5258215962442</v>
      </c>
      <c r="N8" s="456">
        <f>I8/(H17+G17+F17+E17+D17)*G17</f>
        <v>24.413145539906104</v>
      </c>
      <c r="O8" s="456">
        <f>I8/(H17+G17+F17+E17+D17)*H17</f>
        <v>122.06572769953053</v>
      </c>
      <c r="P8" s="389">
        <f>SUM(K8:O8)</f>
        <v>1733.3333333333333</v>
      </c>
    </row>
    <row r="9" spans="2:16" ht="5.25" customHeight="1" thickBot="1">
      <c r="B9" s="402"/>
      <c r="C9" s="594"/>
      <c r="D9" s="764"/>
      <c r="E9" s="764"/>
      <c r="F9" s="765"/>
      <c r="G9" s="773"/>
      <c r="H9" s="766"/>
      <c r="I9" s="403"/>
      <c r="J9" s="386"/>
      <c r="K9" s="457"/>
      <c r="L9" s="458"/>
      <c r="M9" s="458"/>
      <c r="N9" s="458"/>
      <c r="O9" s="458"/>
      <c r="P9" s="392"/>
    </row>
    <row r="10" spans="4:16" ht="16.5" thickBot="1">
      <c r="D10" s="767">
        <f>SUM(D5:D9)</f>
        <v>0</v>
      </c>
      <c r="E10" s="767">
        <f>SUM(E5:E9)</f>
        <v>3850</v>
      </c>
      <c r="F10" s="768">
        <f>SUM(F5:F9)</f>
        <v>0</v>
      </c>
      <c r="G10" s="774">
        <f>SUM(G5:G8)</f>
        <v>20533.33333333333</v>
      </c>
      <c r="H10" s="769">
        <f>SUM(H5:H9)</f>
        <v>2310</v>
      </c>
      <c r="I10" s="404">
        <f>SUM(I5:I9)</f>
        <v>26693.33333333333</v>
      </c>
      <c r="J10" s="405" t="s">
        <v>113</v>
      </c>
      <c r="K10" s="393">
        <f>SUM(K5:K9)</f>
        <v>1025.3521126760563</v>
      </c>
      <c r="L10" s="393">
        <f>SUM(L5:L9)</f>
        <v>8145.85289514867</v>
      </c>
      <c r="M10" s="393">
        <f>SUM(M5:M9)</f>
        <v>16291.70579029734</v>
      </c>
      <c r="N10" s="393">
        <f>SUM(N5:N9)</f>
        <v>205.07042253521126</v>
      </c>
      <c r="O10" s="394">
        <f>SUM(O5:O9)</f>
        <v>1025.3521126760563</v>
      </c>
      <c r="P10" s="395"/>
    </row>
    <row r="11" spans="5:16" ht="47.25" customHeight="1" thickBot="1">
      <c r="E11" s="396"/>
      <c r="J11" s="406" t="s">
        <v>337</v>
      </c>
      <c r="K11" s="407">
        <f>IF(K10=0,0,K10/D17)</f>
        <v>205.07042253521126</v>
      </c>
      <c r="L11" s="407">
        <f>IF(L10=0,0,L10/E17)</f>
        <v>407.2926447574335</v>
      </c>
      <c r="M11" s="407">
        <f>IF(M10=0,0,M10/F17)</f>
        <v>407.2926447574335</v>
      </c>
      <c r="N11" s="407">
        <f>IF(N10=0,0,N10/G17)</f>
        <v>205.07042253521126</v>
      </c>
      <c r="O11" s="408">
        <f>IF(O10=0,0,O10/H17)</f>
        <v>205.07042253521126</v>
      </c>
      <c r="P11" s="396"/>
    </row>
    <row r="12" spans="9:15" ht="4.5" customHeight="1">
      <c r="I12" s="409"/>
      <c r="J12" s="410"/>
      <c r="K12" s="411"/>
      <c r="L12" s="411"/>
      <c r="M12" s="412"/>
      <c r="N12" s="412"/>
      <c r="O12" s="412"/>
    </row>
    <row r="13" ht="4.5" customHeight="1"/>
    <row r="14" ht="4.5" customHeight="1"/>
    <row r="15" spans="9:12" ht="4.5" customHeight="1" thickBot="1">
      <c r="I15" s="409"/>
      <c r="J15" s="409"/>
      <c r="K15" s="409"/>
      <c r="L15" s="409"/>
    </row>
    <row r="16" spans="2:12" ht="39" thickBot="1">
      <c r="B16" s="413"/>
      <c r="C16" s="397"/>
      <c r="D16" s="414" t="s">
        <v>115</v>
      </c>
      <c r="E16" s="398" t="s">
        <v>234</v>
      </c>
      <c r="F16" s="399" t="s">
        <v>235</v>
      </c>
      <c r="G16" s="401" t="s">
        <v>238</v>
      </c>
      <c r="H16" s="459" t="s">
        <v>14</v>
      </c>
      <c r="I16" s="415" t="s">
        <v>113</v>
      </c>
      <c r="J16" s="416"/>
      <c r="K16" s="417"/>
      <c r="L16" s="409"/>
    </row>
    <row r="17" spans="3:12" ht="31.5" thickBot="1">
      <c r="C17" s="599" t="s">
        <v>342</v>
      </c>
      <c r="D17" s="418">
        <v>5</v>
      </c>
      <c r="E17" s="418">
        <v>20</v>
      </c>
      <c r="F17" s="418">
        <v>40</v>
      </c>
      <c r="G17" s="418">
        <v>1</v>
      </c>
      <c r="H17" s="418">
        <v>5</v>
      </c>
      <c r="I17" s="419">
        <f>SUM(D17:H17)</f>
        <v>71</v>
      </c>
      <c r="J17" s="420"/>
      <c r="K17" s="410"/>
      <c r="L17" s="409"/>
    </row>
    <row r="18" spans="6:12" ht="12.75">
      <c r="F18">
        <v>40</v>
      </c>
      <c r="I18" s="409"/>
      <c r="J18" s="409"/>
      <c r="K18" s="409"/>
      <c r="L18" s="409"/>
    </row>
    <row r="19" spans="9:12" ht="13.5" thickBot="1">
      <c r="I19" s="409"/>
      <c r="J19" s="409"/>
      <c r="K19" s="409"/>
      <c r="L19" s="409"/>
    </row>
    <row r="20" spans="4:12" ht="27" customHeight="1" thickBot="1">
      <c r="D20" s="885" t="s">
        <v>338</v>
      </c>
      <c r="E20" s="886"/>
      <c r="F20" s="886"/>
      <c r="G20" s="886"/>
      <c r="H20" s="887"/>
      <c r="I20" s="409"/>
      <c r="J20" s="409"/>
      <c r="K20" s="409"/>
      <c r="L20" s="409"/>
    </row>
    <row r="21" ht="34.5" customHeight="1" thickBot="1"/>
    <row r="22" spans="2:8" ht="18.75" thickBot="1">
      <c r="B22" s="880" t="s">
        <v>239</v>
      </c>
      <c r="C22" s="881"/>
      <c r="D22" s="881"/>
      <c r="E22" s="881"/>
      <c r="F22" s="881"/>
      <c r="G22" s="881"/>
      <c r="H22" s="882"/>
    </row>
    <row r="23" spans="2:8" ht="39" thickBot="1">
      <c r="B23" s="421"/>
      <c r="C23" s="422" t="s">
        <v>240</v>
      </c>
      <c r="D23" s="423" t="s">
        <v>115</v>
      </c>
      <c r="E23" s="382" t="s">
        <v>234</v>
      </c>
      <c r="F23" s="383" t="s">
        <v>235</v>
      </c>
      <c r="G23" s="401" t="s">
        <v>238</v>
      </c>
      <c r="H23" s="460" t="s">
        <v>14</v>
      </c>
    </row>
    <row r="24" spans="2:8" ht="12.75">
      <c r="B24" s="424"/>
      <c r="C24" s="385"/>
      <c r="D24" s="385"/>
      <c r="E24" s="385"/>
      <c r="F24" s="385"/>
      <c r="G24" s="385"/>
      <c r="H24" s="425"/>
    </row>
    <row r="25" spans="2:8" ht="12.75">
      <c r="B25" s="426" t="s">
        <v>241</v>
      </c>
      <c r="C25" s="461">
        <f>Preisannahmen!N43*1000</f>
        <v>200</v>
      </c>
      <c r="D25" s="427">
        <f>1000*Preisannahmen!N38</f>
        <v>1250</v>
      </c>
      <c r="E25" s="427">
        <f>1000*Preisannahmen!N39</f>
        <v>1250</v>
      </c>
      <c r="F25" s="427">
        <f>1000*Preisannahmen!N40</f>
        <v>649.9999999999999</v>
      </c>
      <c r="G25" s="427">
        <f>1000*Preisannahmen!N41</f>
        <v>6000</v>
      </c>
      <c r="H25" s="428">
        <f>1000*Preisannahmen!N42</f>
        <v>2250</v>
      </c>
    </row>
    <row r="26" spans="2:8" ht="12.75">
      <c r="B26" s="426" t="s">
        <v>242</v>
      </c>
      <c r="C26" s="429">
        <f>I17</f>
        <v>71</v>
      </c>
      <c r="D26" s="430">
        <f>D17</f>
        <v>5</v>
      </c>
      <c r="E26" s="430">
        <f>E17</f>
        <v>20</v>
      </c>
      <c r="F26" s="430">
        <f>F17</f>
        <v>40</v>
      </c>
      <c r="G26" s="430">
        <f>G17</f>
        <v>1</v>
      </c>
      <c r="H26" s="431">
        <f>H17</f>
        <v>5</v>
      </c>
    </row>
    <row r="27" spans="2:8" ht="15" thickBot="1">
      <c r="B27" s="432" t="s">
        <v>243</v>
      </c>
      <c r="C27" s="433">
        <f>I17*C25</f>
        <v>14200</v>
      </c>
      <c r="D27" s="433">
        <f>D25*D26</f>
        <v>6250</v>
      </c>
      <c r="E27" s="433">
        <f>E25*E26</f>
        <v>25000</v>
      </c>
      <c r="F27" s="433">
        <f>F25*F26</f>
        <v>25999.999999999996</v>
      </c>
      <c r="G27" s="433">
        <f>G25*G26</f>
        <v>6000</v>
      </c>
      <c r="H27" s="434">
        <f>H25*H26</f>
        <v>11250</v>
      </c>
    </row>
    <row r="28" spans="2:13" ht="12.75">
      <c r="B28" s="435" t="s">
        <v>244</v>
      </c>
      <c r="C28" s="436">
        <v>0</v>
      </c>
      <c r="D28" s="437">
        <f>K11</f>
        <v>205.07042253521126</v>
      </c>
      <c r="E28" s="437">
        <f>L11</f>
        <v>407.2926447574335</v>
      </c>
      <c r="F28" s="437">
        <f>M11</f>
        <v>407.2926447574335</v>
      </c>
      <c r="G28" s="437">
        <f>N11</f>
        <v>205.07042253521126</v>
      </c>
      <c r="H28" s="438">
        <f>O11</f>
        <v>205.07042253521126</v>
      </c>
      <c r="M28" s="595"/>
    </row>
    <row r="29" spans="2:8" ht="12.75">
      <c r="B29" s="439" t="s">
        <v>245</v>
      </c>
      <c r="C29" s="430">
        <f>C26*C28</f>
        <v>0</v>
      </c>
      <c r="D29" s="427">
        <f>D28*D26</f>
        <v>1025.3521126760563</v>
      </c>
      <c r="E29" s="427">
        <f>E26*E28</f>
        <v>8145.85289514867</v>
      </c>
      <c r="F29" s="427">
        <f>F26*F28</f>
        <v>16291.70579029734</v>
      </c>
      <c r="G29" s="427">
        <f>G28*G26</f>
        <v>205.07042253521126</v>
      </c>
      <c r="H29" s="428">
        <f>H26*H28</f>
        <v>1025.3521126760563</v>
      </c>
    </row>
    <row r="30" spans="2:8" ht="16.5" thickBot="1">
      <c r="B30" s="440" t="s">
        <v>116</v>
      </c>
      <c r="C30" s="441">
        <f aca="true" t="shared" si="0" ref="C30:H30">C27-C29</f>
        <v>14200</v>
      </c>
      <c r="D30" s="442">
        <f t="shared" si="0"/>
        <v>5224.647887323944</v>
      </c>
      <c r="E30" s="442">
        <f t="shared" si="0"/>
        <v>16854.14710485133</v>
      </c>
      <c r="F30" s="442">
        <f t="shared" si="0"/>
        <v>9708.294209702657</v>
      </c>
      <c r="G30" s="442">
        <f t="shared" si="0"/>
        <v>5794.929577464789</v>
      </c>
      <c r="H30" s="597">
        <f t="shared" si="0"/>
        <v>10224.647887323943</v>
      </c>
    </row>
    <row r="31" ht="6.75" customHeight="1">
      <c r="C31" s="596"/>
    </row>
    <row r="32" ht="6.75" customHeight="1" thickBot="1"/>
    <row r="33" spans="3:8" ht="18.75" thickBot="1">
      <c r="C33" s="880" t="s">
        <v>246</v>
      </c>
      <c r="D33" s="881"/>
      <c r="E33" s="881"/>
      <c r="F33" s="881"/>
      <c r="G33" s="881"/>
      <c r="H33" s="882"/>
    </row>
    <row r="34" spans="3:8" ht="39" thickBot="1">
      <c r="C34" s="444"/>
      <c r="D34" s="414" t="s">
        <v>115</v>
      </c>
      <c r="E34" s="398" t="s">
        <v>234</v>
      </c>
      <c r="F34" s="399" t="s">
        <v>235</v>
      </c>
      <c r="G34" s="401" t="s">
        <v>238</v>
      </c>
      <c r="H34" s="462" t="s">
        <v>14</v>
      </c>
    </row>
    <row r="35" spans="3:8" ht="15.75" thickBot="1">
      <c r="C35" s="445" t="s">
        <v>240</v>
      </c>
      <c r="D35" s="443">
        <f>D30-D26*C25</f>
        <v>4224.647887323944</v>
      </c>
      <c r="E35" s="443">
        <f>E30-E17*C25</f>
        <v>12854.14710485133</v>
      </c>
      <c r="F35" s="443">
        <f>F30-F17*C25</f>
        <v>1708.294209702657</v>
      </c>
      <c r="G35" s="443">
        <f>G30-G17*C25</f>
        <v>5594.929577464789</v>
      </c>
      <c r="H35" s="446">
        <f>H30-H17*C25</f>
        <v>9224.647887323943</v>
      </c>
    </row>
  </sheetData>
  <mergeCells count="5">
    <mergeCell ref="B1:H1"/>
    <mergeCell ref="C33:H33"/>
    <mergeCell ref="B2:H2"/>
    <mergeCell ref="D20:H20"/>
    <mergeCell ref="B22:H22"/>
  </mergeCells>
  <printOptions/>
  <pageMargins left="0.75" right="0.75" top="1" bottom="1" header="0.4921259845" footer="0.4921259845"/>
  <pageSetup horizontalDpi="600" verticalDpi="600" orientation="landscape" paperSize="9" scale="62" r:id="rId4"/>
  <ignoredErrors>
    <ignoredError sqref="G1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24"/>
  <sheetViews>
    <sheetView workbookViewId="0" topLeftCell="A1">
      <selection activeCell="A1" sqref="A1:A20"/>
    </sheetView>
  </sheetViews>
  <sheetFormatPr defaultColWidth="11.00390625" defaultRowHeight="12.75"/>
  <cols>
    <col min="1" max="1" width="141.00390625" style="0" customWidth="1"/>
  </cols>
  <sheetData>
    <row r="1" ht="29.25" customHeight="1">
      <c r="A1" s="745" t="s">
        <v>382</v>
      </c>
    </row>
    <row r="2" ht="19.5" customHeight="1">
      <c r="A2" s="743"/>
    </row>
    <row r="3" ht="19.5" customHeight="1">
      <c r="A3" s="744"/>
    </row>
    <row r="4" ht="19.5" customHeight="1">
      <c r="A4" s="744"/>
    </row>
    <row r="5" ht="19.5" customHeight="1">
      <c r="A5" s="744"/>
    </row>
    <row r="6" ht="19.5" customHeight="1">
      <c r="A6" s="744"/>
    </row>
    <row r="7" ht="19.5" customHeight="1">
      <c r="A7" s="744"/>
    </row>
    <row r="8" ht="19.5" customHeight="1">
      <c r="A8" s="744"/>
    </row>
    <row r="9" ht="19.5" customHeight="1">
      <c r="A9" s="744"/>
    </row>
    <row r="10" ht="19.5" customHeight="1">
      <c r="A10" s="744"/>
    </row>
    <row r="11" ht="19.5" customHeight="1">
      <c r="A11" s="744"/>
    </row>
    <row r="12" ht="19.5" customHeight="1">
      <c r="A12" s="744"/>
    </row>
    <row r="13" ht="19.5" customHeight="1">
      <c r="A13" s="744"/>
    </row>
    <row r="14" ht="19.5" customHeight="1">
      <c r="A14" s="744"/>
    </row>
    <row r="15" ht="19.5" customHeight="1">
      <c r="A15" s="744"/>
    </row>
    <row r="16" ht="19.5" customHeight="1">
      <c r="A16" s="744"/>
    </row>
    <row r="17" ht="19.5" customHeight="1">
      <c r="A17" s="744"/>
    </row>
    <row r="18" ht="19.5" customHeight="1">
      <c r="A18" s="744"/>
    </row>
    <row r="19" ht="22.5" customHeight="1">
      <c r="A19" s="744"/>
    </row>
    <row r="20" ht="21.75" customHeight="1">
      <c r="A20" s="744"/>
    </row>
    <row r="23" ht="15">
      <c r="A23" s="346"/>
    </row>
    <row r="24" ht="15">
      <c r="A24" s="3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5"/>
  <sheetViews>
    <sheetView workbookViewId="0" topLeftCell="A1">
      <selection activeCell="G32" sqref="G32"/>
    </sheetView>
  </sheetViews>
  <sheetFormatPr defaultColWidth="11.00390625" defaultRowHeight="12.75"/>
  <cols>
    <col min="1" max="1" width="3.875" style="2" customWidth="1"/>
    <col min="2" max="2" width="21.75390625" style="2" customWidth="1"/>
    <col min="3" max="3" width="11.625" style="2" customWidth="1"/>
    <col min="4" max="4" width="17.25390625" style="2" customWidth="1"/>
    <col min="5" max="5" width="12.25390625" style="2" customWidth="1"/>
    <col min="6" max="6" width="12.00390625" style="2" customWidth="1"/>
    <col min="7" max="9" width="10.75390625" style="2" customWidth="1"/>
    <col min="10" max="10" width="5.375" style="2" customWidth="1"/>
    <col min="11" max="11" width="12.625" style="2" customWidth="1"/>
    <col min="12" max="12" width="8.625" style="2" customWidth="1"/>
    <col min="13" max="13" width="19.25390625" style="2" customWidth="1"/>
    <col min="14" max="16384" width="10.75390625" style="2" customWidth="1"/>
  </cols>
  <sheetData>
    <row r="1" spans="3:9" ht="46.5" customHeight="1" thickBot="1">
      <c r="C1" s="560" t="s">
        <v>334</v>
      </c>
      <c r="E1"/>
      <c r="F1"/>
      <c r="G1"/>
      <c r="H1"/>
      <c r="I1"/>
    </row>
    <row r="2" spans="2:4" ht="18" customHeight="1" thickBot="1">
      <c r="B2" s="791" t="s">
        <v>250</v>
      </c>
      <c r="C2" s="792"/>
      <c r="D2" s="793"/>
    </row>
    <row r="3" spans="2:9" ht="26.25" customHeight="1" thickBot="1">
      <c r="B3" s="246"/>
      <c r="C3" s="587" t="s">
        <v>179</v>
      </c>
      <c r="D3" s="246"/>
      <c r="E3" s="562" t="s">
        <v>18</v>
      </c>
      <c r="F3" s="562">
        <v>2009</v>
      </c>
      <c r="G3" s="563">
        <v>2010</v>
      </c>
      <c r="H3" s="563">
        <v>2011</v>
      </c>
      <c r="I3" s="563">
        <v>2012</v>
      </c>
    </row>
    <row r="4" spans="2:11" ht="13.5" thickBot="1">
      <c r="B4" s="247" t="s">
        <v>21</v>
      </c>
      <c r="C4" s="573"/>
      <c r="D4" s="561"/>
      <c r="E4" s="564">
        <v>0</v>
      </c>
      <c r="F4" s="565">
        <v>0</v>
      </c>
      <c r="G4" s="565">
        <v>0</v>
      </c>
      <c r="H4" s="565">
        <v>0</v>
      </c>
      <c r="I4" s="566">
        <v>0</v>
      </c>
      <c r="K4" s="794" t="s">
        <v>335</v>
      </c>
    </row>
    <row r="5" spans="2:11" ht="12.75">
      <c r="B5" s="572" t="s">
        <v>60</v>
      </c>
      <c r="C5" s="139">
        <v>50</v>
      </c>
      <c r="D5" s="561"/>
      <c r="E5" s="567">
        <v>0</v>
      </c>
      <c r="F5" s="254">
        <v>0</v>
      </c>
      <c r="G5" s="254">
        <v>0</v>
      </c>
      <c r="H5" s="254">
        <v>0</v>
      </c>
      <c r="I5" s="568">
        <v>0</v>
      </c>
      <c r="K5" s="795"/>
    </row>
    <row r="6" spans="2:11" ht="12.75" customHeight="1">
      <c r="B6" s="572" t="s">
        <v>23</v>
      </c>
      <c r="C6" s="574">
        <v>15</v>
      </c>
      <c r="D6" s="561"/>
      <c r="E6" s="567">
        <v>0</v>
      </c>
      <c r="F6" s="254">
        <v>0</v>
      </c>
      <c r="G6" s="254">
        <v>0</v>
      </c>
      <c r="H6" s="254">
        <v>0</v>
      </c>
      <c r="I6" s="568">
        <v>0</v>
      </c>
      <c r="K6" s="795"/>
    </row>
    <row r="7" spans="2:11" ht="12.75" customHeight="1">
      <c r="B7" s="572" t="s">
        <v>2</v>
      </c>
      <c r="C7" s="574">
        <v>15</v>
      </c>
      <c r="D7" s="561"/>
      <c r="E7" s="567">
        <v>0</v>
      </c>
      <c r="F7" s="254">
        <v>0</v>
      </c>
      <c r="G7" s="254">
        <v>0</v>
      </c>
      <c r="H7" s="254">
        <v>0</v>
      </c>
      <c r="I7" s="568">
        <v>0</v>
      </c>
      <c r="K7" s="795"/>
    </row>
    <row r="8" spans="2:11" ht="13.5" thickBot="1">
      <c r="B8" s="572" t="s">
        <v>24</v>
      </c>
      <c r="C8" s="574">
        <v>10</v>
      </c>
      <c r="D8" s="561"/>
      <c r="E8" s="569">
        <v>0</v>
      </c>
      <c r="F8" s="570">
        <v>0</v>
      </c>
      <c r="G8" s="570">
        <v>0</v>
      </c>
      <c r="H8" s="570">
        <v>0</v>
      </c>
      <c r="I8" s="571">
        <v>0</v>
      </c>
      <c r="K8" s="796"/>
    </row>
    <row r="9" spans="2:9" ht="6" customHeight="1" thickBot="1">
      <c r="B9" s="572"/>
      <c r="C9" s="575"/>
      <c r="D9" s="578"/>
      <c r="E9" s="579"/>
      <c r="F9" s="579"/>
      <c r="G9" s="579"/>
      <c r="H9" s="579"/>
      <c r="I9" s="579"/>
    </row>
    <row r="10" spans="2:11" ht="13.5" thickBot="1">
      <c r="B10" s="572" t="s">
        <v>22</v>
      </c>
      <c r="C10" s="576">
        <v>10</v>
      </c>
      <c r="D10" s="581" t="s">
        <v>40</v>
      </c>
      <c r="E10" s="565">
        <v>0</v>
      </c>
      <c r="F10" s="565">
        <v>0</v>
      </c>
      <c r="G10" s="565">
        <v>0</v>
      </c>
      <c r="H10" s="565">
        <v>0</v>
      </c>
      <c r="I10" s="566">
        <v>0</v>
      </c>
      <c r="K10" s="794" t="s">
        <v>336</v>
      </c>
    </row>
    <row r="11" spans="2:11" ht="12.75">
      <c r="B11" s="247"/>
      <c r="C11" s="577">
        <f>C10</f>
        <v>10</v>
      </c>
      <c r="D11" s="582" t="s">
        <v>41</v>
      </c>
      <c r="E11" s="254">
        <v>0</v>
      </c>
      <c r="F11" s="254">
        <v>0</v>
      </c>
      <c r="G11" s="254">
        <v>0</v>
      </c>
      <c r="H11" s="254">
        <v>0</v>
      </c>
      <c r="I11" s="568">
        <v>0</v>
      </c>
      <c r="K11" s="795"/>
    </row>
    <row r="12" spans="2:11" ht="12.75">
      <c r="B12" s="247"/>
      <c r="C12" s="577">
        <f>C10</f>
        <v>10</v>
      </c>
      <c r="D12" s="582" t="s">
        <v>16</v>
      </c>
      <c r="E12" s="254">
        <v>0</v>
      </c>
      <c r="F12" s="254">
        <v>0</v>
      </c>
      <c r="G12" s="254">
        <v>0</v>
      </c>
      <c r="H12" s="254">
        <v>0</v>
      </c>
      <c r="I12" s="568">
        <v>0</v>
      </c>
      <c r="K12" s="795"/>
    </row>
    <row r="13" spans="2:11" ht="12.75">
      <c r="B13" s="247"/>
      <c r="C13" s="577">
        <f>C10</f>
        <v>10</v>
      </c>
      <c r="D13" s="582"/>
      <c r="E13" s="254">
        <v>0</v>
      </c>
      <c r="F13" s="254">
        <v>0</v>
      </c>
      <c r="G13" s="254">
        <v>0</v>
      </c>
      <c r="H13" s="254">
        <v>0</v>
      </c>
      <c r="I13" s="568">
        <v>0</v>
      </c>
      <c r="K13" s="795"/>
    </row>
    <row r="14" spans="2:11" ht="25.5">
      <c r="B14" s="247"/>
      <c r="C14" s="577">
        <f>C10</f>
        <v>10</v>
      </c>
      <c r="D14" s="582" t="s">
        <v>17</v>
      </c>
      <c r="E14" s="254">
        <v>0</v>
      </c>
      <c r="F14" s="254">
        <v>0</v>
      </c>
      <c r="G14" s="254">
        <v>0</v>
      </c>
      <c r="H14" s="254">
        <v>0</v>
      </c>
      <c r="I14" s="568">
        <v>0</v>
      </c>
      <c r="K14" s="795"/>
    </row>
    <row r="15" spans="2:11" ht="12.75">
      <c r="B15" s="247"/>
      <c r="C15" s="577">
        <f>C10</f>
        <v>10</v>
      </c>
      <c r="D15" s="582" t="s">
        <v>42</v>
      </c>
      <c r="E15" s="254">
        <v>0</v>
      </c>
      <c r="F15" s="254">
        <v>0</v>
      </c>
      <c r="G15" s="254"/>
      <c r="H15" s="254">
        <v>0</v>
      </c>
      <c r="I15" s="568">
        <v>0</v>
      </c>
      <c r="K15" s="795"/>
    </row>
    <row r="16" spans="2:11" ht="12.75">
      <c r="B16" s="247"/>
      <c r="C16" s="577">
        <f>C10</f>
        <v>10</v>
      </c>
      <c r="D16" s="582" t="s">
        <v>43</v>
      </c>
      <c r="E16" s="254">
        <v>0</v>
      </c>
      <c r="F16" s="254">
        <v>0</v>
      </c>
      <c r="G16" s="254">
        <v>0</v>
      </c>
      <c r="H16" s="254">
        <v>0</v>
      </c>
      <c r="I16" s="568">
        <v>0</v>
      </c>
      <c r="J16" s="4"/>
      <c r="K16" s="795"/>
    </row>
    <row r="17" spans="2:11" ht="12.75">
      <c r="B17" s="247"/>
      <c r="C17" s="577">
        <f>C10</f>
        <v>10</v>
      </c>
      <c r="D17" s="582" t="s">
        <v>343</v>
      </c>
      <c r="E17" s="254">
        <v>0</v>
      </c>
      <c r="F17" s="254">
        <v>0</v>
      </c>
      <c r="G17" s="254">
        <v>0</v>
      </c>
      <c r="H17" s="254">
        <v>0</v>
      </c>
      <c r="I17" s="568">
        <v>0</v>
      </c>
      <c r="K17" s="795"/>
    </row>
    <row r="18" spans="2:11" ht="12.75">
      <c r="B18" s="247"/>
      <c r="C18" s="577">
        <f>C10</f>
        <v>10</v>
      </c>
      <c r="D18" s="582" t="s">
        <v>19</v>
      </c>
      <c r="E18" s="254">
        <v>0</v>
      </c>
      <c r="F18" s="254">
        <v>0</v>
      </c>
      <c r="G18" s="254">
        <v>0</v>
      </c>
      <c r="H18" s="254">
        <v>0</v>
      </c>
      <c r="I18" s="568">
        <v>0</v>
      </c>
      <c r="K18" s="795"/>
    </row>
    <row r="19" spans="2:11" ht="12.75">
      <c r="B19" s="247"/>
      <c r="C19" s="577">
        <f>C10</f>
        <v>10</v>
      </c>
      <c r="D19" s="582" t="s">
        <v>25</v>
      </c>
      <c r="E19" s="254">
        <v>0</v>
      </c>
      <c r="F19" s="254">
        <v>0</v>
      </c>
      <c r="G19" s="254">
        <v>0</v>
      </c>
      <c r="H19" s="254">
        <v>0</v>
      </c>
      <c r="I19" s="568">
        <v>0</v>
      </c>
      <c r="K19" s="795"/>
    </row>
    <row r="20" spans="2:11" ht="12.75">
      <c r="B20" s="247"/>
      <c r="C20" s="577">
        <f>C10</f>
        <v>10</v>
      </c>
      <c r="D20" s="582" t="s">
        <v>44</v>
      </c>
      <c r="E20" s="254">
        <v>0</v>
      </c>
      <c r="F20" s="254">
        <v>0</v>
      </c>
      <c r="G20" s="254">
        <v>0</v>
      </c>
      <c r="H20" s="254">
        <v>0</v>
      </c>
      <c r="I20" s="568">
        <v>0</v>
      </c>
      <c r="K20" s="795"/>
    </row>
    <row r="21" spans="2:11" ht="12.75" customHeight="1">
      <c r="B21" s="248"/>
      <c r="C21" s="577">
        <f>C10</f>
        <v>10</v>
      </c>
      <c r="D21" s="583" t="s">
        <v>1</v>
      </c>
      <c r="E21" s="254">
        <v>0</v>
      </c>
      <c r="F21" s="254">
        <v>0</v>
      </c>
      <c r="G21" s="254">
        <v>0</v>
      </c>
      <c r="H21" s="254">
        <v>0</v>
      </c>
      <c r="I21" s="568">
        <v>0</v>
      </c>
      <c r="K21" s="795"/>
    </row>
    <row r="22" spans="2:11" ht="12.75" customHeight="1">
      <c r="B22" s="248"/>
      <c r="C22" s="577">
        <f>C10</f>
        <v>10</v>
      </c>
      <c r="D22" s="584"/>
      <c r="E22" s="254">
        <v>0</v>
      </c>
      <c r="F22" s="254">
        <v>0</v>
      </c>
      <c r="G22" s="254">
        <v>0</v>
      </c>
      <c r="H22" s="254">
        <v>0</v>
      </c>
      <c r="I22" s="568">
        <v>0</v>
      </c>
      <c r="K22" s="795"/>
    </row>
    <row r="23" spans="2:11" ht="16.5" customHeight="1">
      <c r="B23" s="249"/>
      <c r="C23" s="251">
        <f>C10</f>
        <v>10</v>
      </c>
      <c r="D23" s="583" t="s">
        <v>81</v>
      </c>
      <c r="E23" s="254">
        <v>0</v>
      </c>
      <c r="F23" s="254">
        <v>0</v>
      </c>
      <c r="G23" s="254">
        <v>0</v>
      </c>
      <c r="H23" s="254">
        <v>0</v>
      </c>
      <c r="I23" s="568">
        <v>0</v>
      </c>
      <c r="K23" s="795"/>
    </row>
    <row r="24" spans="2:11" ht="12.75" customHeight="1">
      <c r="B24" s="249"/>
      <c r="C24" s="250">
        <f>C10</f>
        <v>10</v>
      </c>
      <c r="D24" s="585" t="s">
        <v>82</v>
      </c>
      <c r="E24" s="254">
        <v>0</v>
      </c>
      <c r="F24" s="254">
        <v>0</v>
      </c>
      <c r="G24" s="254">
        <v>0</v>
      </c>
      <c r="H24" s="254">
        <v>0</v>
      </c>
      <c r="I24" s="568">
        <v>0</v>
      </c>
      <c r="K24" s="795"/>
    </row>
    <row r="25" spans="2:11" ht="12.75" customHeight="1">
      <c r="B25" s="249"/>
      <c r="C25" s="251">
        <f>C10</f>
        <v>10</v>
      </c>
      <c r="D25" s="583" t="s">
        <v>83</v>
      </c>
      <c r="E25" s="254">
        <v>0</v>
      </c>
      <c r="F25" s="254">
        <v>0</v>
      </c>
      <c r="G25" s="254">
        <v>0</v>
      </c>
      <c r="H25" s="254">
        <v>0</v>
      </c>
      <c r="I25" s="568">
        <v>0</v>
      </c>
      <c r="K25" s="795"/>
    </row>
    <row r="26" spans="2:11" ht="12.75" customHeight="1" thickBot="1">
      <c r="B26" s="249"/>
      <c r="C26" s="251">
        <f>C10</f>
        <v>10</v>
      </c>
      <c r="D26" s="586" t="s">
        <v>84</v>
      </c>
      <c r="E26" s="570">
        <v>0</v>
      </c>
      <c r="F26" s="570">
        <v>0</v>
      </c>
      <c r="G26" s="570">
        <v>0</v>
      </c>
      <c r="H26" s="570">
        <v>0</v>
      </c>
      <c r="I26" s="571">
        <v>0</v>
      </c>
      <c r="K26" s="796"/>
    </row>
    <row r="27" spans="2:13" ht="20.25" customHeight="1" thickBot="1">
      <c r="B27" s="5" t="s">
        <v>31</v>
      </c>
      <c r="C27" s="66"/>
      <c r="D27" s="66"/>
      <c r="E27" s="255">
        <f>SUM(E4:E27)</f>
        <v>0</v>
      </c>
      <c r="F27" s="256">
        <f>SUM(F4:F28)</f>
        <v>0</v>
      </c>
      <c r="G27" s="256">
        <f>SUM(G5:G28)</f>
        <v>0</v>
      </c>
      <c r="H27" s="256">
        <f>SUM(H4:H28)</f>
        <v>0</v>
      </c>
      <c r="I27" s="780">
        <f>SUM(I4:I28)</f>
        <v>0</v>
      </c>
      <c r="J27" s="588"/>
      <c r="L27"/>
      <c r="M27"/>
    </row>
    <row r="28" spans="2:9" ht="10.5" customHeight="1">
      <c r="B28" s="775"/>
      <c r="C28" s="775"/>
      <c r="D28" s="776"/>
      <c r="E28" s="777"/>
      <c r="F28" s="778"/>
      <c r="G28" s="779"/>
      <c r="H28" s="779"/>
      <c r="I28" s="779"/>
    </row>
    <row r="29" ht="19.5" customHeight="1"/>
    <row r="31" spans="2:5" ht="12.75">
      <c r="B31"/>
      <c r="C31"/>
      <c r="D31"/>
      <c r="E31"/>
    </row>
    <row r="32" spans="2:5" ht="18.75" customHeight="1">
      <c r="B32"/>
      <c r="C32"/>
      <c r="D32"/>
      <c r="E32"/>
    </row>
    <row r="33" spans="2:8" ht="12.75">
      <c r="B33"/>
      <c r="C33"/>
      <c r="D33"/>
      <c r="E33"/>
      <c r="G33"/>
      <c r="H33"/>
    </row>
    <row r="34" spans="2:5" ht="12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5" spans="2:7" ht="12.75">
      <c r="B45"/>
      <c r="C45"/>
      <c r="D45"/>
      <c r="E45"/>
      <c r="F45"/>
      <c r="G45"/>
    </row>
  </sheetData>
  <mergeCells count="3">
    <mergeCell ref="B2:D2"/>
    <mergeCell ref="K10:K26"/>
    <mergeCell ref="K4:K8"/>
  </mergeCells>
  <printOptions/>
  <pageMargins left="0.75" right="0.75" top="1" bottom="1" header="0.5" footer="0.5"/>
  <pageSetup fitToHeight="1" fitToWidth="1" orientation="landscape" paperSize="9" scale="88" r:id="rId4"/>
  <ignoredErrors>
    <ignoredError sqref="G27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29"/>
  <sheetViews>
    <sheetView workbookViewId="0" topLeftCell="A1">
      <selection activeCell="F30" sqref="F30"/>
    </sheetView>
  </sheetViews>
  <sheetFormatPr defaultColWidth="11.00390625" defaultRowHeight="12.75"/>
  <cols>
    <col min="1" max="1" width="5.00390625" style="0" customWidth="1"/>
    <col min="2" max="2" width="24.625" style="0" customWidth="1"/>
    <col min="3" max="3" width="13.00390625" style="0" customWidth="1"/>
  </cols>
  <sheetData>
    <row r="1" spans="4:8" ht="15.75" customHeight="1" thickBot="1">
      <c r="D1" s="797" t="s">
        <v>178</v>
      </c>
      <c r="E1" s="798"/>
      <c r="F1" s="798"/>
      <c r="G1" s="798"/>
      <c r="H1" s="799"/>
    </row>
    <row r="2" spans="1:9" ht="17.25" customHeight="1" thickBot="1">
      <c r="A2" s="791" t="s">
        <v>367</v>
      </c>
      <c r="B2" s="792"/>
      <c r="C2" s="793"/>
      <c r="D2" s="2"/>
      <c r="E2" s="2"/>
      <c r="F2" s="2"/>
      <c r="G2" s="2"/>
      <c r="H2" s="2"/>
      <c r="I2" s="2"/>
    </row>
    <row r="3" spans="2:9" ht="13.5" thickBot="1">
      <c r="B3" s="6"/>
      <c r="C3" s="674"/>
      <c r="D3" s="562">
        <v>2008</v>
      </c>
      <c r="E3" s="562">
        <v>2009</v>
      </c>
      <c r="F3" s="562">
        <v>2010</v>
      </c>
      <c r="G3" s="562">
        <v>2011</v>
      </c>
      <c r="H3" s="562">
        <v>2012</v>
      </c>
      <c r="I3" s="2"/>
    </row>
    <row r="4" spans="2:9" ht="12.75">
      <c r="B4" s="638" t="s">
        <v>13</v>
      </c>
      <c r="C4" s="277" t="s">
        <v>0</v>
      </c>
      <c r="D4" s="266">
        <v>40000</v>
      </c>
      <c r="E4" s="267">
        <v>60000</v>
      </c>
      <c r="F4" s="267">
        <f>E4*1.02</f>
        <v>61200</v>
      </c>
      <c r="G4" s="267">
        <v>80000</v>
      </c>
      <c r="H4" s="268">
        <f>G4*1.02</f>
        <v>81600</v>
      </c>
      <c r="I4" s="2"/>
    </row>
    <row r="5" spans="2:9" ht="12.75">
      <c r="B5" s="638" t="s">
        <v>33</v>
      </c>
      <c r="C5" s="278" t="s">
        <v>347</v>
      </c>
      <c r="D5" s="269">
        <v>30000</v>
      </c>
      <c r="E5" s="235">
        <f>D5*1.02</f>
        <v>30600</v>
      </c>
      <c r="F5" s="235">
        <f>E5*1.02</f>
        <v>31212</v>
      </c>
      <c r="G5" s="235">
        <f>F5*1.02</f>
        <v>31836.24</v>
      </c>
      <c r="H5" s="270">
        <f>G5*1.02</f>
        <v>32472.9648</v>
      </c>
      <c r="I5" s="2"/>
    </row>
    <row r="6" spans="2:9" ht="12.75">
      <c r="B6" s="638" t="s">
        <v>34</v>
      </c>
      <c r="C6" s="278" t="s">
        <v>348</v>
      </c>
      <c r="D6" s="269">
        <v>75000</v>
      </c>
      <c r="E6" s="235">
        <f>D6*1.02</f>
        <v>76500</v>
      </c>
      <c r="F6" s="235">
        <f>E6*1.02</f>
        <v>78030</v>
      </c>
      <c r="G6" s="235">
        <f>F6*1.02</f>
        <v>79590.6</v>
      </c>
      <c r="H6" s="270">
        <f>G6*1.02</f>
        <v>81182.41200000001</v>
      </c>
      <c r="I6" s="2"/>
    </row>
    <row r="7" spans="2:9" ht="13.5" thickBot="1">
      <c r="B7" s="638" t="s">
        <v>35</v>
      </c>
      <c r="C7" s="279" t="s">
        <v>349</v>
      </c>
      <c r="D7" s="271">
        <v>40000</v>
      </c>
      <c r="E7" s="272">
        <v>60000</v>
      </c>
      <c r="F7" s="272">
        <f>E7*1.02</f>
        <v>61200</v>
      </c>
      <c r="G7" s="272">
        <v>90000</v>
      </c>
      <c r="H7" s="273">
        <f>G7*1.02</f>
        <v>91800</v>
      </c>
      <c r="I7" s="3"/>
    </row>
    <row r="8" spans="2:9" ht="13.5" thickBot="1">
      <c r="B8" s="240" t="s">
        <v>36</v>
      </c>
      <c r="C8" s="734"/>
      <c r="D8" s="735">
        <f>SUM(D4:D7)</f>
        <v>185000</v>
      </c>
      <c r="E8" s="736">
        <f>SUM(E4:E7)</f>
        <v>227100</v>
      </c>
      <c r="F8" s="736">
        <f>SUM(F4:F7)</f>
        <v>231642</v>
      </c>
      <c r="G8" s="736">
        <f>SUM(G4:G7)</f>
        <v>281426.84</v>
      </c>
      <c r="H8" s="737">
        <f>SUM(H4:H7)</f>
        <v>287055.3768</v>
      </c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28" ht="12.75">
      <c r="I28" s="2"/>
    </row>
    <row r="29" ht="12.75">
      <c r="I29" s="2"/>
    </row>
  </sheetData>
  <mergeCells count="2">
    <mergeCell ref="D1:H1"/>
    <mergeCell ref="A2:C2"/>
  </mergeCells>
  <printOptions/>
  <pageMargins left="0.75" right="0.75" top="1" bottom="1" header="0.5" footer="0.5"/>
  <pageSetup fitToHeight="1" fitToWidth="1" orientation="landscape" paperSize="9" r:id="rId2"/>
  <ignoredErrors>
    <ignoredError sqref="D8:H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9" sqref="K29"/>
    </sheetView>
  </sheetViews>
  <sheetFormatPr defaultColWidth="11.00390625" defaultRowHeight="12.75"/>
  <cols>
    <col min="1" max="1" width="21.625" style="0" customWidth="1"/>
    <col min="2" max="2" width="16.375" style="0" customWidth="1"/>
    <col min="3" max="3" width="13.25390625" style="0" customWidth="1"/>
    <col min="4" max="4" width="12.75390625" style="0" customWidth="1"/>
    <col min="5" max="5" width="11.50390625" style="0" customWidth="1"/>
    <col min="6" max="6" width="11.125" style="0" customWidth="1"/>
    <col min="7" max="7" width="11.375" style="0" customWidth="1"/>
    <col min="8" max="8" width="11.75390625" style="0" customWidth="1"/>
    <col min="9" max="9" width="2.25390625" style="0" customWidth="1"/>
    <col min="11" max="11" width="21.50390625" style="0" customWidth="1"/>
  </cols>
  <sheetData>
    <row r="1" ht="13.5" thickBot="1"/>
    <row r="2" spans="1:5" ht="16.5" thickBot="1">
      <c r="A2" s="791" t="s">
        <v>350</v>
      </c>
      <c r="B2" s="792"/>
      <c r="C2" s="792"/>
      <c r="D2" s="800"/>
      <c r="E2" s="801"/>
    </row>
    <row r="3" spans="3:8" ht="26.25" thickBot="1">
      <c r="C3" s="645" t="s">
        <v>352</v>
      </c>
      <c r="D3" s="649" t="s">
        <v>355</v>
      </c>
      <c r="E3" s="650" t="s">
        <v>356</v>
      </c>
      <c r="F3" s="650" t="s">
        <v>357</v>
      </c>
      <c r="G3" s="650" t="s">
        <v>358</v>
      </c>
      <c r="H3" s="651" t="s">
        <v>359</v>
      </c>
    </row>
    <row r="4" spans="1:8" ht="12.75">
      <c r="A4" s="631" t="s">
        <v>22</v>
      </c>
      <c r="B4" s="633" t="s">
        <v>40</v>
      </c>
      <c r="C4" s="627">
        <v>5000</v>
      </c>
      <c r="D4" s="646">
        <f>C4/90*8</f>
        <v>444.44444444444446</v>
      </c>
      <c r="E4" s="647">
        <f>C4/90*12</f>
        <v>666.6666666666667</v>
      </c>
      <c r="F4" s="647">
        <f aca="true" t="shared" si="0" ref="F4:H6">E4</f>
        <v>666.6666666666667</v>
      </c>
      <c r="G4" s="647">
        <f t="shared" si="0"/>
        <v>666.6666666666667</v>
      </c>
      <c r="H4" s="648">
        <f t="shared" si="0"/>
        <v>666.6666666666667</v>
      </c>
    </row>
    <row r="5" spans="1:8" ht="12.75">
      <c r="A5" s="631"/>
      <c r="B5" s="634" t="s">
        <v>41</v>
      </c>
      <c r="C5" s="628">
        <v>30000</v>
      </c>
      <c r="D5" s="619">
        <f>C5/90*8</f>
        <v>2666.6666666666665</v>
      </c>
      <c r="E5" s="550">
        <f>C5/90*12</f>
        <v>4000</v>
      </c>
      <c r="F5" s="550">
        <f t="shared" si="0"/>
        <v>4000</v>
      </c>
      <c r="G5" s="550">
        <f t="shared" si="0"/>
        <v>4000</v>
      </c>
      <c r="H5" s="616">
        <f t="shared" si="0"/>
        <v>4000</v>
      </c>
    </row>
    <row r="6" spans="1:8" ht="12.75">
      <c r="A6" s="631"/>
      <c r="B6" s="634" t="s">
        <v>16</v>
      </c>
      <c r="C6" s="628">
        <v>170000</v>
      </c>
      <c r="D6" s="619">
        <f>C6/90*8</f>
        <v>15111.111111111111</v>
      </c>
      <c r="E6" s="550">
        <f>C6/90*12</f>
        <v>22666.666666666668</v>
      </c>
      <c r="F6" s="550">
        <f t="shared" si="0"/>
        <v>22666.666666666668</v>
      </c>
      <c r="G6" s="550">
        <f t="shared" si="0"/>
        <v>22666.666666666668</v>
      </c>
      <c r="H6" s="616">
        <f t="shared" si="0"/>
        <v>22666.666666666668</v>
      </c>
    </row>
    <row r="7" spans="1:8" ht="12.75">
      <c r="A7" s="631"/>
      <c r="B7" s="634"/>
      <c r="C7" s="628"/>
      <c r="D7" s="619"/>
      <c r="E7" s="550"/>
      <c r="F7" s="550"/>
      <c r="G7" s="550"/>
      <c r="H7" s="616"/>
    </row>
    <row r="8" spans="1:8" ht="25.5">
      <c r="A8" s="631"/>
      <c r="B8" s="634" t="s">
        <v>17</v>
      </c>
      <c r="C8" s="628">
        <v>80000</v>
      </c>
      <c r="D8" s="619">
        <f>C8/90*8</f>
        <v>7111.111111111111</v>
      </c>
      <c r="E8" s="550">
        <f>C8/90*12</f>
        <v>10666.666666666668</v>
      </c>
      <c r="F8" s="550">
        <f>E8</f>
        <v>10666.666666666668</v>
      </c>
      <c r="G8" s="550">
        <f>F8</f>
        <v>10666.666666666668</v>
      </c>
      <c r="H8" s="616">
        <f>G8</f>
        <v>10666.666666666668</v>
      </c>
    </row>
    <row r="9" spans="1:8" ht="12.75">
      <c r="A9" s="631"/>
      <c r="B9" s="634" t="s">
        <v>42</v>
      </c>
      <c r="C9" s="628">
        <v>120000</v>
      </c>
      <c r="D9" s="619">
        <f>C9/90*8</f>
        <v>10666.666666666666</v>
      </c>
      <c r="E9" s="550">
        <f>C9/90*12</f>
        <v>16000</v>
      </c>
      <c r="F9" s="550">
        <f>E9</f>
        <v>16000</v>
      </c>
      <c r="G9" s="550">
        <f aca="true" t="shared" si="1" ref="G9:H15">F9</f>
        <v>16000</v>
      </c>
      <c r="H9" s="616">
        <f t="shared" si="1"/>
        <v>16000</v>
      </c>
    </row>
    <row r="10" spans="1:8" ht="12.75">
      <c r="A10" s="631"/>
      <c r="B10" s="634" t="s">
        <v>43</v>
      </c>
      <c r="C10" s="628">
        <v>100000</v>
      </c>
      <c r="D10" s="619">
        <v>0</v>
      </c>
      <c r="E10" s="550">
        <f>C10/90*8</f>
        <v>8888.888888888889</v>
      </c>
      <c r="F10" s="550">
        <f>C10/90*12</f>
        <v>13333.333333333332</v>
      </c>
      <c r="G10" s="550">
        <f t="shared" si="1"/>
        <v>13333.333333333332</v>
      </c>
      <c r="H10" s="616">
        <f t="shared" si="1"/>
        <v>13333.333333333332</v>
      </c>
    </row>
    <row r="11" spans="1:8" ht="12.75">
      <c r="A11" s="631"/>
      <c r="B11" s="634" t="s">
        <v>343</v>
      </c>
      <c r="C11" s="628">
        <v>60000</v>
      </c>
      <c r="D11" s="619">
        <v>0</v>
      </c>
      <c r="E11" s="550">
        <f>C11/90*8</f>
        <v>5333.333333333333</v>
      </c>
      <c r="F11" s="550">
        <f>C11/90*12</f>
        <v>8000</v>
      </c>
      <c r="G11" s="550">
        <f t="shared" si="1"/>
        <v>8000</v>
      </c>
      <c r="H11" s="616">
        <f t="shared" si="1"/>
        <v>8000</v>
      </c>
    </row>
    <row r="12" spans="1:8" ht="12.75">
      <c r="A12" s="631"/>
      <c r="B12" s="634" t="s">
        <v>19</v>
      </c>
      <c r="C12" s="628">
        <v>20000</v>
      </c>
      <c r="D12" s="619">
        <f>C12/90*8</f>
        <v>1777.7777777777778</v>
      </c>
      <c r="E12" s="550">
        <f>C12/90*12</f>
        <v>2666.666666666667</v>
      </c>
      <c r="F12" s="550">
        <f>E12</f>
        <v>2666.666666666667</v>
      </c>
      <c r="G12" s="550">
        <f t="shared" si="1"/>
        <v>2666.666666666667</v>
      </c>
      <c r="H12" s="616">
        <f t="shared" si="1"/>
        <v>2666.666666666667</v>
      </c>
    </row>
    <row r="13" spans="1:8" ht="12.75">
      <c r="A13" s="631"/>
      <c r="B13" s="634" t="s">
        <v>25</v>
      </c>
      <c r="C13" s="628">
        <v>78000</v>
      </c>
      <c r="D13" s="619">
        <f>C13/90*8</f>
        <v>6933.333333333333</v>
      </c>
      <c r="E13" s="550">
        <f>C13/90*12</f>
        <v>10400</v>
      </c>
      <c r="F13" s="550">
        <f>E13</f>
        <v>10400</v>
      </c>
      <c r="G13" s="550">
        <f t="shared" si="1"/>
        <v>10400</v>
      </c>
      <c r="H13" s="616">
        <f t="shared" si="1"/>
        <v>10400</v>
      </c>
    </row>
    <row r="14" spans="1:8" ht="12.75">
      <c r="A14" s="631"/>
      <c r="B14" s="634" t="s">
        <v>44</v>
      </c>
      <c r="C14" s="628">
        <v>153000</v>
      </c>
      <c r="D14" s="619">
        <f>C14/90*8</f>
        <v>13600</v>
      </c>
      <c r="E14" s="550">
        <f>C14/90*12</f>
        <v>20400</v>
      </c>
      <c r="F14" s="550">
        <f>E14</f>
        <v>20400</v>
      </c>
      <c r="G14" s="550">
        <f t="shared" si="1"/>
        <v>20400</v>
      </c>
      <c r="H14" s="616">
        <f t="shared" si="1"/>
        <v>20400</v>
      </c>
    </row>
    <row r="15" spans="1:8" ht="12.75">
      <c r="A15" s="631"/>
      <c r="B15" s="634" t="s">
        <v>1</v>
      </c>
      <c r="C15" s="628">
        <v>50000</v>
      </c>
      <c r="D15" s="619">
        <f>C15/90*8</f>
        <v>4444.444444444444</v>
      </c>
      <c r="E15" s="550">
        <f>C15/90*12</f>
        <v>6666.666666666666</v>
      </c>
      <c r="F15" s="550">
        <f>E15</f>
        <v>6666.666666666666</v>
      </c>
      <c r="G15" s="550">
        <f t="shared" si="1"/>
        <v>6666.666666666666</v>
      </c>
      <c r="H15" s="616">
        <f t="shared" si="1"/>
        <v>6666.666666666666</v>
      </c>
    </row>
    <row r="16" spans="1:8" ht="12.75">
      <c r="A16" s="631"/>
      <c r="B16" s="634"/>
      <c r="C16" s="628"/>
      <c r="D16" s="619"/>
      <c r="E16" s="550"/>
      <c r="F16" s="550"/>
      <c r="G16" s="550"/>
      <c r="H16" s="616"/>
    </row>
    <row r="17" spans="1:8" ht="12.75">
      <c r="A17" s="631"/>
      <c r="B17" s="634" t="s">
        <v>81</v>
      </c>
      <c r="C17" s="628">
        <v>64000</v>
      </c>
      <c r="D17" s="619">
        <v>0</v>
      </c>
      <c r="E17" s="550">
        <v>0</v>
      </c>
      <c r="F17" s="550">
        <v>0</v>
      </c>
      <c r="G17" s="550">
        <f>C17/90*8</f>
        <v>5688.888888888889</v>
      </c>
      <c r="H17" s="616">
        <f>C17/90*12</f>
        <v>8533.333333333332</v>
      </c>
    </row>
    <row r="18" spans="1:8" ht="12.75">
      <c r="A18" s="631"/>
      <c r="B18" s="635" t="s">
        <v>82</v>
      </c>
      <c r="C18" s="628">
        <v>70000</v>
      </c>
      <c r="D18" s="619">
        <v>0</v>
      </c>
      <c r="E18" s="550">
        <v>0</v>
      </c>
      <c r="F18" s="550">
        <v>0</v>
      </c>
      <c r="G18" s="550">
        <f>C18/90*8</f>
        <v>6222.222222222223</v>
      </c>
      <c r="H18" s="616">
        <f>C18/90*12</f>
        <v>9333.333333333334</v>
      </c>
    </row>
    <row r="19" spans="1:8" ht="12.75">
      <c r="A19" s="631"/>
      <c r="B19" s="634" t="s">
        <v>83</v>
      </c>
      <c r="C19" s="628">
        <v>10000</v>
      </c>
      <c r="D19" s="619">
        <v>0</v>
      </c>
      <c r="E19" s="550">
        <v>0</v>
      </c>
      <c r="F19" s="550">
        <v>0</v>
      </c>
      <c r="G19" s="550">
        <f>C19/90*8</f>
        <v>888.8888888888889</v>
      </c>
      <c r="H19" s="616">
        <f>C19/90*12</f>
        <v>1333.3333333333335</v>
      </c>
    </row>
    <row r="20" spans="1:8" ht="12.75">
      <c r="A20" s="631"/>
      <c r="B20" s="634" t="s">
        <v>84</v>
      </c>
      <c r="C20" s="628">
        <v>10000</v>
      </c>
      <c r="D20" s="619">
        <v>0</v>
      </c>
      <c r="E20" s="550">
        <v>0</v>
      </c>
      <c r="F20" s="550">
        <v>0</v>
      </c>
      <c r="G20" s="550">
        <f>C20/90*8</f>
        <v>888.8888888888889</v>
      </c>
      <c r="H20" s="616">
        <f>C20/90*12</f>
        <v>1333.3333333333335</v>
      </c>
    </row>
    <row r="21" spans="1:8" ht="13.5" thickBot="1">
      <c r="A21" s="631" t="s">
        <v>285</v>
      </c>
      <c r="B21" s="636"/>
      <c r="C21" s="629"/>
      <c r="D21" s="620"/>
      <c r="E21" s="551"/>
      <c r="F21" s="551"/>
      <c r="G21" s="551"/>
      <c r="H21" s="617"/>
    </row>
    <row r="22" spans="1:8" ht="13.5" thickBot="1">
      <c r="A22" s="632" t="s">
        <v>185</v>
      </c>
      <c r="B22" s="632"/>
      <c r="C22" s="637">
        <f aca="true" t="shared" si="2" ref="C22:H22">SUM(C4:C21)</f>
        <v>1020000</v>
      </c>
      <c r="D22" s="642">
        <f t="shared" si="2"/>
        <v>62755.55555555556</v>
      </c>
      <c r="E22" s="643">
        <f t="shared" si="2"/>
        <v>108355.55555555556</v>
      </c>
      <c r="F22" s="643">
        <f t="shared" si="2"/>
        <v>115466.66666666667</v>
      </c>
      <c r="G22" s="643">
        <f t="shared" si="2"/>
        <v>129155.55555555556</v>
      </c>
      <c r="H22" s="644">
        <f t="shared" si="2"/>
        <v>136000.00000000003</v>
      </c>
    </row>
    <row r="23" ht="13.5" thickBot="1"/>
    <row r="24" spans="1:5" ht="16.5" thickBot="1">
      <c r="A24" s="791" t="s">
        <v>388</v>
      </c>
      <c r="B24" s="792"/>
      <c r="C24" s="800"/>
      <c r="D24" s="800"/>
      <c r="E24" s="801"/>
    </row>
    <row r="25" spans="3:8" ht="13.5" thickBot="1">
      <c r="C25" s="626" t="s">
        <v>360</v>
      </c>
      <c r="D25" s="652" t="s">
        <v>361</v>
      </c>
      <c r="E25" s="653" t="s">
        <v>362</v>
      </c>
      <c r="F25" s="653" t="s">
        <v>363</v>
      </c>
      <c r="G25" s="653" t="s">
        <v>364</v>
      </c>
      <c r="H25" s="654" t="s">
        <v>365</v>
      </c>
    </row>
    <row r="26" spans="1:11" ht="13.5" thickBot="1">
      <c r="A26" s="593" t="s">
        <v>71</v>
      </c>
      <c r="B26" s="623"/>
      <c r="C26" s="627">
        <v>2000</v>
      </c>
      <c r="D26" s="618">
        <f>C26*10</f>
        <v>20000</v>
      </c>
      <c r="E26" s="554">
        <f>(C26*12)*(1+J26)</f>
        <v>24240</v>
      </c>
      <c r="F26" s="554">
        <f>C26*12*(1+J26)^2</f>
        <v>24482.4</v>
      </c>
      <c r="G26" s="554">
        <f>C26*12*(1+J26)^3</f>
        <v>24727.224</v>
      </c>
      <c r="H26" s="615">
        <f>C26*12*(1+J26)^4</f>
        <v>24974.49624</v>
      </c>
      <c r="J26" s="621">
        <v>0.01</v>
      </c>
      <c r="K26" s="802" t="s">
        <v>396</v>
      </c>
    </row>
    <row r="27" spans="1:11" ht="13.5" thickBot="1">
      <c r="A27" s="593" t="s">
        <v>351</v>
      </c>
      <c r="B27" s="623"/>
      <c r="C27" s="628">
        <v>500</v>
      </c>
      <c r="D27" s="619">
        <f>C27*10</f>
        <v>5000</v>
      </c>
      <c r="E27" s="550">
        <f>C27*12*(1+J27)</f>
        <v>6060</v>
      </c>
      <c r="F27" s="550">
        <f>C27*12*(1+J27)^2</f>
        <v>6120.6</v>
      </c>
      <c r="G27" s="550">
        <f>C27*12*(1+J27)^3</f>
        <v>6181.806</v>
      </c>
      <c r="H27" s="616">
        <f>C27*12*(1+J27)^4</f>
        <v>6243.62406</v>
      </c>
      <c r="J27" s="621">
        <v>0.01</v>
      </c>
      <c r="K27" s="803"/>
    </row>
    <row r="28" spans="1:11" ht="13.5" thickBot="1">
      <c r="A28" s="593" t="s">
        <v>354</v>
      </c>
      <c r="B28" s="623"/>
      <c r="C28" s="629">
        <v>0</v>
      </c>
      <c r="D28" s="620">
        <f>C28*12</f>
        <v>0</v>
      </c>
      <c r="E28" s="551">
        <f>D28*(1+J28)</f>
        <v>0</v>
      </c>
      <c r="F28" s="551">
        <f>D28*(1+J28)^2</f>
        <v>0</v>
      </c>
      <c r="G28" s="551">
        <f>D28*(1+J28)^3</f>
        <v>0</v>
      </c>
      <c r="H28" s="617">
        <f>D28*(1+J28)^4</f>
        <v>0</v>
      </c>
      <c r="J28" s="622">
        <v>0</v>
      </c>
      <c r="K28" s="804"/>
    </row>
    <row r="29" spans="1:8" ht="13.5" thickBot="1">
      <c r="A29" s="624" t="s">
        <v>185</v>
      </c>
      <c r="B29" s="625"/>
      <c r="C29" s="630">
        <f aca="true" t="shared" si="3" ref="C29:H29">C26+C27+C28</f>
        <v>2500</v>
      </c>
      <c r="D29" s="655">
        <f t="shared" si="3"/>
        <v>25000</v>
      </c>
      <c r="E29" s="656">
        <f t="shared" si="3"/>
        <v>30300</v>
      </c>
      <c r="F29" s="656">
        <f t="shared" si="3"/>
        <v>30603</v>
      </c>
      <c r="G29" s="656">
        <f t="shared" si="3"/>
        <v>30909.03</v>
      </c>
      <c r="H29" s="657">
        <f t="shared" si="3"/>
        <v>31218.120300000002</v>
      </c>
    </row>
  </sheetData>
  <mergeCells count="3">
    <mergeCell ref="A2:E2"/>
    <mergeCell ref="A24:E24"/>
    <mergeCell ref="K26:K28"/>
  </mergeCells>
  <printOptions/>
  <pageMargins left="0.75" right="0.75" top="1" bottom="1" header="0.4921259845" footer="0.492125984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1:N34"/>
  <sheetViews>
    <sheetView workbookViewId="0" topLeftCell="A1">
      <selection activeCell="L28" sqref="L28"/>
    </sheetView>
  </sheetViews>
  <sheetFormatPr defaultColWidth="11.00390625" defaultRowHeight="12.75"/>
  <cols>
    <col min="1" max="1" width="3.375" style="2" customWidth="1"/>
    <col min="2" max="2" width="21.375" style="2" customWidth="1"/>
    <col min="3" max="3" width="1.00390625" style="2" customWidth="1"/>
    <col min="4" max="5" width="10.75390625" style="2" customWidth="1"/>
    <col min="6" max="6" width="11.625" style="2" customWidth="1"/>
    <col min="7" max="8" width="10.75390625" style="2" customWidth="1"/>
    <col min="9" max="9" width="2.375" style="2" customWidth="1"/>
    <col min="10" max="10" width="10.875" style="2" customWidth="1"/>
    <col min="11" max="11" width="2.375" style="2" customWidth="1"/>
    <col min="12" max="12" width="14.375" style="2" customWidth="1"/>
    <col min="13" max="13" width="10.75390625" style="2" customWidth="1"/>
    <col min="14" max="14" width="12.125" style="2" customWidth="1"/>
    <col min="15" max="16384" width="10.75390625" style="2" customWidth="1"/>
  </cols>
  <sheetData>
    <row r="1" spans="7:13" ht="50.25" customHeight="1" thickBot="1">
      <c r="G1" s="259" t="s">
        <v>180</v>
      </c>
      <c r="J1" s="259" t="s">
        <v>383</v>
      </c>
      <c r="L1" s="282" t="s">
        <v>184</v>
      </c>
      <c r="M1"/>
    </row>
    <row r="2" spans="2:13" ht="16.5" customHeight="1" thickBot="1">
      <c r="B2" s="791" t="s">
        <v>253</v>
      </c>
      <c r="C2" s="792"/>
      <c r="D2" s="792"/>
      <c r="E2" s="792"/>
      <c r="F2" s="793"/>
      <c r="J2" s="260"/>
      <c r="M2"/>
    </row>
    <row r="3" spans="2:13" ht="13.5" thickBot="1">
      <c r="B3" s="6"/>
      <c r="C3" s="6"/>
      <c r="D3" s="469">
        <v>2008</v>
      </c>
      <c r="E3" s="469">
        <v>2009</v>
      </c>
      <c r="F3" s="469">
        <v>2010</v>
      </c>
      <c r="G3" s="236">
        <v>2011</v>
      </c>
      <c r="H3" s="236">
        <v>2012</v>
      </c>
      <c r="J3" s="261"/>
      <c r="L3" s="283">
        <v>0.35</v>
      </c>
      <c r="M3"/>
    </row>
    <row r="4" spans="2:13" ht="13.5" customHeight="1" thickBot="1">
      <c r="B4" s="237" t="s">
        <v>37</v>
      </c>
      <c r="C4" s="238"/>
      <c r="D4" s="7">
        <f>Personalaufwand!D8</f>
        <v>185000</v>
      </c>
      <c r="E4" s="7">
        <f>Personalaufwand!E8</f>
        <v>227100</v>
      </c>
      <c r="F4" s="7">
        <f>Personalaufwand!F8</f>
        <v>231642</v>
      </c>
      <c r="G4" s="7">
        <f>Personalaufwand!G8</f>
        <v>281426.84</v>
      </c>
      <c r="H4" s="7">
        <f>Personalaufwand!H8</f>
        <v>287055.3768</v>
      </c>
      <c r="I4" s="50"/>
      <c r="J4" s="261"/>
      <c r="M4"/>
    </row>
    <row r="5" spans="2:13" ht="13.5" customHeight="1" thickBot="1">
      <c r="B5" s="275" t="s">
        <v>283</v>
      </c>
      <c r="C5" s="452"/>
      <c r="D5" s="264">
        <f>J5*('Produktion und Absatz'!D9+'Produktion und Absatz'!D10+'Produktion und Absatz'!D11+'Produktion und Absatz'!D12+'Produktion und Absatz'!D13+'Produktion und Absatz'!D14+'Produktion und Absatz'!D15+'Produktion und Absatz'!D16)/(1-L3)</f>
        <v>35076.92307692308</v>
      </c>
      <c r="E5" s="264">
        <f>J5*('Produktion und Absatz'!D17+'Produktion und Absatz'!D18+'Produktion und Absatz'!D19+'Produktion und Absatz'!D20+'Produktion und Absatz'!D21+'Produktion und Absatz'!D22+'Produktion und Absatz'!D23+'Produktion und Absatz'!D24)/(1-L3)*(1+L5)</f>
        <v>40707.692307692305</v>
      </c>
      <c r="F5" s="264">
        <f>J5*('Produktion und Absatz'!D25+'Produktion und Absatz'!D26+'Produktion und Absatz'!D27+'Produktion und Absatz'!D28+'Produktion und Absatz'!D29+'Produktion und Absatz'!D30+'Produktion und Absatz'!D31+'Produktion und Absatz'!D32)/(1-L3)*(1+L5)^2</f>
        <v>55633.846153846156</v>
      </c>
      <c r="G5" s="264">
        <f>J5*('Produktion und Absatz'!D33+'Produktion und Absatz'!D34+'Produktion und Absatz'!D35+'Produktion und Absatz'!D36+'Produktion und Absatz'!D37+'Produktion und Absatz'!D38+'Produktion und Absatz'!D39+'Produktion und Absatz'!D40)/(1-L3)*(1+L5)^3</f>
        <v>63402.23076923077</v>
      </c>
      <c r="H5" s="264">
        <f>J5*('Produktion und Absatz'!D41+'Produktion und Absatz'!D42+'Produktion und Absatz'!D43+'Produktion und Absatz'!D44+'Produktion und Absatz'!D45+'Produktion und Absatz'!D46+'Produktion und Absatz'!D47+'Produktion und Absatz'!D48)/(1-L3)*(1+L5)^4</f>
        <v>80784.41538461538</v>
      </c>
      <c r="I5" s="50"/>
      <c r="J5" s="262">
        <v>40</v>
      </c>
      <c r="L5" s="464">
        <v>0.05</v>
      </c>
      <c r="M5" s="794" t="s">
        <v>252</v>
      </c>
    </row>
    <row r="6" spans="2:13" ht="13.5" customHeight="1" thickBot="1">
      <c r="B6" s="237" t="s">
        <v>251</v>
      </c>
      <c r="C6" s="238"/>
      <c r="D6" s="7">
        <f>'Plan Bilanz'!B29*'Plan Bilanz'!L29+'Plan Bilanz'!B30*'Plan Bilanz'!L30</f>
        <v>8571.518329374716</v>
      </c>
      <c r="E6" s="7">
        <f>'Plan Bilanz'!D29*'Plan Bilanz'!L29+'Plan Bilanz'!D30*'Plan Bilanz'!L30</f>
        <v>7768.759014889481</v>
      </c>
      <c r="F6" s="7">
        <f>'Plan Bilanz'!F29*'Plan Bilanz'!L29+'Plan Bilanz'!F30*'Plan Bilanz'!L30</f>
        <v>6858.588421472127</v>
      </c>
      <c r="G6" s="7">
        <f>'Plan Bilanz'!H29*'Plan Bilanz'!L29+'Plan Bilanz'!H30*'Plan Bilanz'!L30</f>
        <v>6142.150611837044</v>
      </c>
      <c r="H6" s="7">
        <f>'Plan Bilanz'!J29*'Plan Bilanz'!L29+'Plan Bilanz'!J30*'Plan Bilanz'!L30</f>
        <v>5159.301567794724</v>
      </c>
      <c r="J6" s="261"/>
      <c r="L6" s="465"/>
      <c r="M6" s="795"/>
    </row>
    <row r="7" spans="2:13" s="3" customFormat="1" ht="13.5" customHeight="1" thickBot="1">
      <c r="B7" s="276" t="s">
        <v>32</v>
      </c>
      <c r="C7" s="453"/>
      <c r="D7" s="265">
        <f>J7*('Produktion und Absatz'!D9+'Produktion und Absatz'!D10+'Produktion und Absatz'!D11+'Produktion und Absatz'!D12+'Produktion und Absatz'!D13+'Produktion und Absatz'!D14+'Produktion und Absatz'!D15+'Produktion und Absatz'!D16)/(1-L3)</f>
        <v>8769.23076923077</v>
      </c>
      <c r="E7" s="265">
        <f>J7*('Produktion und Absatz'!D17+'Produktion und Absatz'!D18+'Produktion und Absatz'!D19+'Produktion und Absatz'!D20+'Produktion und Absatz'!D21+'Produktion und Absatz'!D22+'Produktion und Absatz'!D23+'Produktion und Absatz'!D24)/(1-L3)*(1+L7)</f>
        <v>9789.230769230768</v>
      </c>
      <c r="F7" s="265">
        <f>J7*('Produktion und Absatz'!D25+'Produktion und Absatz'!D26+'Produktion und Absatz'!D27+'Produktion und Absatz'!D28+'Produktion und Absatz'!D29+'Produktion und Absatz'!D30+'Produktion und Absatz'!D31+'Produktion und Absatz'!D32)/(1-L3)*(1+L7)^2</f>
        <v>12868.953846153847</v>
      </c>
      <c r="G7" s="265">
        <f>J7*('Produktion und Absatz'!D33+'Produktion und Absatz'!D34+'Produktion und Absatz'!D35+'Produktion und Absatz'!D36+'Produktion und Absatz'!D37+'Produktion und Absatz'!D38+'Produktion und Absatz'!D39+'Produktion und Absatz'!D40)/(1-L3)*(1+L7)^3</f>
        <v>14107.198307692306</v>
      </c>
      <c r="H7" s="265">
        <f>J7*('Produktion und Absatz'!D41+'Produktion und Absatz'!D42+'Produktion und Absatz'!D43+'Produktion und Absatz'!D44+'Produktion und Absatz'!D45+'Produktion und Absatz'!D46+'Produktion und Absatz'!D47+'Produktion und Absatz'!D48)/(1-L3)*(1+L7)^4</f>
        <v>17290.035858461535</v>
      </c>
      <c r="I7" s="258"/>
      <c r="J7" s="280">
        <v>10</v>
      </c>
      <c r="L7" s="466">
        <v>0.01</v>
      </c>
      <c r="M7" s="795"/>
    </row>
    <row r="8" spans="2:13" ht="13.5" customHeight="1">
      <c r="B8" s="277" t="s">
        <v>54</v>
      </c>
      <c r="C8" s="274"/>
      <c r="D8" s="266">
        <v>40000</v>
      </c>
      <c r="E8" s="267">
        <v>40000</v>
      </c>
      <c r="F8" s="267">
        <v>40000</v>
      </c>
      <c r="G8" s="267">
        <v>50000</v>
      </c>
      <c r="H8" s="268">
        <v>50000</v>
      </c>
      <c r="J8" s="261"/>
      <c r="K8"/>
      <c r="L8" s="467"/>
      <c r="M8" s="795"/>
    </row>
    <row r="9" spans="2:13" ht="13.5" customHeight="1">
      <c r="B9" s="278" t="s">
        <v>38</v>
      </c>
      <c r="C9" s="274"/>
      <c r="D9" s="269">
        <v>40000</v>
      </c>
      <c r="E9" s="235">
        <v>60000</v>
      </c>
      <c r="F9" s="235">
        <v>80000</v>
      </c>
      <c r="G9" s="235">
        <v>80000</v>
      </c>
      <c r="H9" s="270">
        <v>80000</v>
      </c>
      <c r="J9" s="261"/>
      <c r="K9"/>
      <c r="L9" s="467"/>
      <c r="M9" s="795"/>
    </row>
    <row r="10" spans="2:13" ht="13.5" customHeight="1" thickBot="1">
      <c r="B10" s="279" t="s">
        <v>385</v>
      </c>
      <c r="C10" s="274"/>
      <c r="D10" s="271">
        <v>8000</v>
      </c>
      <c r="E10" s="272">
        <v>10000</v>
      </c>
      <c r="F10" s="272">
        <v>15000</v>
      </c>
      <c r="G10" s="272">
        <v>20000</v>
      </c>
      <c r="H10" s="273">
        <v>20000</v>
      </c>
      <c r="J10" s="261"/>
      <c r="K10"/>
      <c r="L10" s="467"/>
      <c r="M10" s="795"/>
    </row>
    <row r="11" spans="2:13" ht="13.5" customHeight="1" thickBot="1">
      <c r="B11" s="602" t="s">
        <v>389</v>
      </c>
      <c r="C11" s="452"/>
      <c r="D11" s="600">
        <f>J11*('Produktion und Absatz'!D9+'Produktion und Absatz'!D10+'Produktion und Absatz'!D11+'Produktion und Absatz'!D12+'Produktion und Absatz'!D13+'Produktion und Absatz'!D14+'Produktion und Absatz'!D15+'Produktion und Absatz'!D16)/(1-L3)</f>
        <v>21923.076923076922</v>
      </c>
      <c r="E11" s="600">
        <f>J11*('Produktion und Absatz'!D17+'Produktion und Absatz'!D18+'Produktion und Absatz'!D19+'Produktion und Absatz'!D20+'Produktion und Absatz'!D21+'Produktion und Absatz'!D22+'Produktion und Absatz'!D23+'Produktion und Absatz'!D24)/(1-L3)*(1+L11)</f>
        <v>24473.076923076922</v>
      </c>
      <c r="F11" s="600">
        <f>J11*('Produktion und Absatz'!D25+'Produktion und Absatz'!D26+'Produktion und Absatz'!D27+'Produktion und Absatz'!D28+'Produktion und Absatz'!D29+'Produktion und Absatz'!D30+'Produktion und Absatz'!D31+'Produktion und Absatz'!D32)/(1-L3)*(1+L11)^2</f>
        <v>32172.384615384617</v>
      </c>
      <c r="G11" s="600">
        <f>J11*('Produktion und Absatz'!D33+'Produktion und Absatz'!D34+'Produktion und Absatz'!D35+'Produktion und Absatz'!D36+'Produktion und Absatz'!D37+'Produktion und Absatz'!D38+'Produktion und Absatz'!D39+'Produktion und Absatz'!D40)/(1-L3)*(1+L11)^3</f>
        <v>35267.995769230765</v>
      </c>
      <c r="H11" s="600">
        <f>J11*('Produktion und Absatz'!D41+'Produktion und Absatz'!D42+'Produktion und Absatz'!D43+'Produktion und Absatz'!D44+'Produktion und Absatz'!D45+'Produktion und Absatz'!D46+'Produktion und Absatz'!D47+'Produktion und Absatz'!D48)/(1-L3)*(1+L11)^4</f>
        <v>43225.08964615385</v>
      </c>
      <c r="I11" s="4"/>
      <c r="J11" s="263">
        <v>25</v>
      </c>
      <c r="K11"/>
      <c r="L11" s="468">
        <v>0.01</v>
      </c>
      <c r="M11" s="796"/>
    </row>
    <row r="12" spans="2:12" ht="13.5" customHeight="1">
      <c r="B12" s="237" t="s">
        <v>345</v>
      </c>
      <c r="C12" s="238"/>
      <c r="D12" s="130">
        <f>'Leasing u. Miete'!D29</f>
        <v>25000</v>
      </c>
      <c r="E12" s="130">
        <f>'Leasing u. Miete'!E29</f>
        <v>30300</v>
      </c>
      <c r="F12" s="130">
        <f>'Leasing u. Miete'!F29</f>
        <v>30603</v>
      </c>
      <c r="G12" s="130">
        <f>'Leasing u. Miete'!G29</f>
        <v>30909.03</v>
      </c>
      <c r="H12" s="130">
        <f>'Leasing u. Miete'!H29</f>
        <v>31218.120300000002</v>
      </c>
      <c r="K12"/>
      <c r="L12"/>
    </row>
    <row r="13" spans="2:12" ht="13.5" thickBot="1">
      <c r="B13" s="275" t="s">
        <v>344</v>
      </c>
      <c r="C13" s="238"/>
      <c r="D13" s="658">
        <f>'Leasing u. Miete'!D22</f>
        <v>62755.55555555556</v>
      </c>
      <c r="E13" s="658">
        <f>'Leasing u. Miete'!E22</f>
        <v>108355.55555555556</v>
      </c>
      <c r="F13" s="658">
        <f>'Leasing u. Miete'!F22</f>
        <v>115466.66666666667</v>
      </c>
      <c r="G13" s="658">
        <f>'Leasing u. Miete'!G22</f>
        <v>129155.55555555556</v>
      </c>
      <c r="H13" s="658">
        <f>'Leasing u. Miete'!H22</f>
        <v>136000.00000000003</v>
      </c>
      <c r="K13"/>
      <c r="L13"/>
    </row>
    <row r="14" spans="2:14" ht="13.5" thickBot="1">
      <c r="B14" s="603" t="s">
        <v>369</v>
      </c>
      <c r="C14" s="659"/>
      <c r="D14" s="604">
        <v>5000</v>
      </c>
      <c r="E14" s="605">
        <v>5000</v>
      </c>
      <c r="F14" s="605">
        <v>5000</v>
      </c>
      <c r="G14" s="605">
        <v>7500</v>
      </c>
      <c r="H14" s="606">
        <v>7500</v>
      </c>
      <c r="L14"/>
      <c r="M14"/>
      <c r="N14"/>
    </row>
    <row r="15" spans="2:14" ht="13.5" thickBot="1">
      <c r="B15" s="603" t="s">
        <v>346</v>
      </c>
      <c r="C15" s="274"/>
      <c r="D15" s="660">
        <v>100000</v>
      </c>
      <c r="E15" s="661">
        <v>0</v>
      </c>
      <c r="F15" s="661">
        <v>0</v>
      </c>
      <c r="G15" s="661">
        <v>0</v>
      </c>
      <c r="H15" s="662">
        <v>0</v>
      </c>
      <c r="L15"/>
      <c r="M15"/>
      <c r="N15"/>
    </row>
    <row r="16" spans="2:14" ht="12.75">
      <c r="B16" s="580" t="s">
        <v>39</v>
      </c>
      <c r="C16" s="580"/>
      <c r="D16" s="601">
        <f>SUM(D4:D12)</f>
        <v>372340.74909860553</v>
      </c>
      <c r="E16" s="601">
        <f>SUM(E4:E12)</f>
        <v>450138.7590148895</v>
      </c>
      <c r="F16" s="601">
        <f>SUM(F4:F12)</f>
        <v>504778.7730368567</v>
      </c>
      <c r="G16" s="601">
        <f>SUM(G4:G12)</f>
        <v>581255.445457991</v>
      </c>
      <c r="H16" s="601">
        <f>SUM(H4:H12)</f>
        <v>614732.3395570255</v>
      </c>
      <c r="L16"/>
      <c r="M16"/>
      <c r="N16"/>
    </row>
    <row r="17" spans="2:9" ht="12.75">
      <c r="B17"/>
      <c r="C17"/>
      <c r="D17"/>
      <c r="E17"/>
      <c r="F17"/>
      <c r="G17"/>
      <c r="H17"/>
      <c r="I17"/>
    </row>
    <row r="18" spans="2:9" ht="12.75">
      <c r="B18"/>
      <c r="C18"/>
      <c r="D18"/>
      <c r="E18"/>
      <c r="F18"/>
      <c r="G18"/>
      <c r="H18"/>
      <c r="I18"/>
    </row>
    <row r="19" spans="2:9" ht="12.75">
      <c r="B19"/>
      <c r="C19"/>
      <c r="D19"/>
      <c r="E19"/>
      <c r="F19"/>
      <c r="G19"/>
      <c r="H19"/>
      <c r="I19"/>
    </row>
    <row r="20" spans="2:9" ht="12.75">
      <c r="B20"/>
      <c r="C20"/>
      <c r="D20"/>
      <c r="E20"/>
      <c r="F20"/>
      <c r="G20"/>
      <c r="H20"/>
      <c r="I20"/>
    </row>
    <row r="21" spans="2:9" ht="12.75">
      <c r="B21"/>
      <c r="C21"/>
      <c r="D21"/>
      <c r="E21"/>
      <c r="F21"/>
      <c r="G21"/>
      <c r="H21"/>
      <c r="I21"/>
    </row>
    <row r="22" spans="2:9" ht="12.75">
      <c r="B22"/>
      <c r="C22"/>
      <c r="D22"/>
      <c r="E22"/>
      <c r="F22"/>
      <c r="G22"/>
      <c r="H22"/>
      <c r="I22"/>
    </row>
    <row r="23" spans="2:9" ht="12.75">
      <c r="B23"/>
      <c r="C23"/>
      <c r="D23"/>
      <c r="E23"/>
      <c r="F23"/>
      <c r="G23"/>
      <c r="H23"/>
      <c r="I23"/>
    </row>
    <row r="24" spans="4:8" ht="12.75">
      <c r="D24" s="209"/>
      <c r="E24" s="209"/>
      <c r="F24" s="209"/>
      <c r="G24" s="209"/>
      <c r="H24" s="209"/>
    </row>
    <row r="25" spans="4:8" ht="12.75">
      <c r="D25" s="209"/>
      <c r="E25" s="209"/>
      <c r="F25" s="209"/>
      <c r="G25" s="209"/>
      <c r="H25" s="209"/>
    </row>
    <row r="26" spans="4:8" ht="12.75">
      <c r="D26" s="209"/>
      <c r="E26" s="209"/>
      <c r="F26" s="209"/>
      <c r="G26" s="209"/>
      <c r="H26" s="209"/>
    </row>
    <row r="27" spans="4:8" ht="12.75">
      <c r="D27" s="209"/>
      <c r="E27" s="209"/>
      <c r="F27" s="209"/>
      <c r="G27" s="209"/>
      <c r="H27" s="209"/>
    </row>
    <row r="28" spans="4:8" ht="12.75">
      <c r="D28" s="209"/>
      <c r="E28" s="209"/>
      <c r="F28" s="209"/>
      <c r="G28" s="209"/>
      <c r="H28" s="209"/>
    </row>
    <row r="29" spans="4:8" ht="12.75">
      <c r="D29" s="209"/>
      <c r="E29" s="209"/>
      <c r="F29" s="209"/>
      <c r="G29" s="209"/>
      <c r="H29" s="209"/>
    </row>
    <row r="30" spans="4:8" ht="12.75">
      <c r="D30" s="209"/>
      <c r="E30" s="209"/>
      <c r="F30" s="209"/>
      <c r="G30" s="209"/>
      <c r="H30" s="209"/>
    </row>
    <row r="31" spans="4:8" ht="12.75">
      <c r="D31" s="209"/>
      <c r="E31" s="209"/>
      <c r="F31" s="209"/>
      <c r="G31" s="209"/>
      <c r="H31" s="209"/>
    </row>
    <row r="32" spans="4:8" ht="12.75">
      <c r="D32" s="209"/>
      <c r="E32" s="209"/>
      <c r="F32" s="209"/>
      <c r="G32" s="209"/>
      <c r="H32" s="675"/>
    </row>
    <row r="33" spans="4:8" ht="12.75">
      <c r="D33" s="209"/>
      <c r="E33" s="209"/>
      <c r="F33" s="209"/>
      <c r="G33" s="209"/>
      <c r="H33" s="675"/>
    </row>
    <row r="34" spans="4:8" ht="12.75">
      <c r="D34" s="209"/>
      <c r="E34" s="209"/>
      <c r="F34" s="209"/>
      <c r="G34" s="209"/>
      <c r="H34" s="209"/>
    </row>
  </sheetData>
  <mergeCells count="2">
    <mergeCell ref="M5:M11"/>
    <mergeCell ref="B2:F2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1:X64"/>
  <sheetViews>
    <sheetView zoomScale="75" zoomScaleNormal="75" workbookViewId="0" topLeftCell="A1">
      <pane xSplit="2" ySplit="3" topLeftCell="N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" sqref="AD3"/>
    </sheetView>
  </sheetViews>
  <sheetFormatPr defaultColWidth="11.00390625" defaultRowHeight="12.75"/>
  <cols>
    <col min="1" max="1" width="2.25390625" style="2" customWidth="1"/>
    <col min="2" max="2" width="16.00390625" style="2" customWidth="1"/>
    <col min="3" max="11" width="10.625" style="2" customWidth="1"/>
    <col min="12" max="12" width="11.75390625" style="2" customWidth="1"/>
    <col min="13" max="14" width="10.625" style="2" customWidth="1"/>
    <col min="15" max="15" width="10.75390625" style="2" customWidth="1"/>
    <col min="16" max="16" width="11.75390625" style="2" customWidth="1"/>
    <col min="17" max="17" width="12.125" style="2" customWidth="1"/>
    <col min="18" max="18" width="10.75390625" style="2" customWidth="1"/>
    <col min="19" max="19" width="10.625" style="2" customWidth="1"/>
    <col min="20" max="21" width="10.75390625" style="2" customWidth="1"/>
    <col min="22" max="22" width="5.875" style="2" customWidth="1"/>
    <col min="23" max="16384" width="10.75390625" style="2" customWidth="1"/>
  </cols>
  <sheetData>
    <row r="1" spans="10:20" ht="76.5" customHeight="1" thickBot="1">
      <c r="J1" s="808" t="s">
        <v>378</v>
      </c>
      <c r="K1" s="809"/>
      <c r="L1" s="810"/>
      <c r="R1" s="560" t="s">
        <v>379</v>
      </c>
      <c r="T1" s="560" t="s">
        <v>380</v>
      </c>
    </row>
    <row r="2" spans="2:7" ht="20.25" customHeight="1" thickBot="1">
      <c r="B2" s="805" t="s">
        <v>397</v>
      </c>
      <c r="C2" s="806"/>
      <c r="D2" s="806"/>
      <c r="E2" s="806"/>
      <c r="F2" s="806"/>
      <c r="G2" s="807"/>
    </row>
    <row r="3" spans="2:24" ht="57" customHeight="1" thickBot="1">
      <c r="B3" s="29"/>
      <c r="C3" s="639" t="s">
        <v>55</v>
      </c>
      <c r="D3" s="640" t="s">
        <v>56</v>
      </c>
      <c r="E3" s="640" t="s">
        <v>368</v>
      </c>
      <c r="F3" s="639" t="s">
        <v>57</v>
      </c>
      <c r="G3" s="640" t="s">
        <v>58</v>
      </c>
      <c r="H3" s="641" t="s">
        <v>2</v>
      </c>
      <c r="I3" s="640" t="s">
        <v>282</v>
      </c>
      <c r="J3" s="640" t="s">
        <v>283</v>
      </c>
      <c r="K3" s="640" t="s">
        <v>67</v>
      </c>
      <c r="L3" s="640" t="s">
        <v>284</v>
      </c>
      <c r="M3" s="640" t="s">
        <v>371</v>
      </c>
      <c r="N3" s="640" t="s">
        <v>344</v>
      </c>
      <c r="O3" s="641" t="s">
        <v>285</v>
      </c>
      <c r="P3" s="679" t="s">
        <v>59</v>
      </c>
      <c r="Q3" s="680" t="s">
        <v>373</v>
      </c>
      <c r="R3" s="676" t="s">
        <v>374</v>
      </c>
      <c r="S3" s="677" t="s">
        <v>375</v>
      </c>
      <c r="T3" s="690" t="s">
        <v>376</v>
      </c>
      <c r="U3" s="704" t="s">
        <v>398</v>
      </c>
      <c r="W3" s="705" t="s">
        <v>381</v>
      </c>
      <c r="X3" s="781" t="s">
        <v>398</v>
      </c>
    </row>
    <row r="4" spans="2:24" ht="15" customHeight="1">
      <c r="B4" s="557" t="s">
        <v>270</v>
      </c>
      <c r="C4" s="546">
        <v>0</v>
      </c>
      <c r="D4" s="546">
        <v>0</v>
      </c>
      <c r="E4" s="546">
        <v>0</v>
      </c>
      <c r="F4" s="546">
        <v>0</v>
      </c>
      <c r="G4" s="546">
        <v>0</v>
      </c>
      <c r="H4" s="546">
        <v>0</v>
      </c>
      <c r="I4" s="546">
        <v>0</v>
      </c>
      <c r="J4" s="547">
        <v>0</v>
      </c>
      <c r="K4" s="547">
        <v>0</v>
      </c>
      <c r="L4" s="547">
        <f>Personalaufwand!D8/14</f>
        <v>13214.285714285714</v>
      </c>
      <c r="M4" s="547">
        <f>'Leasing u. Miete'!C29</f>
        <v>2500</v>
      </c>
      <c r="N4" s="547">
        <f>'Leasing u. Miete'!D22/12</f>
        <v>5229.6296296296305</v>
      </c>
      <c r="O4" s="548">
        <f>Betriebsaufwand!D15/2+(Betriebsaufwand!D8+Betriebsaufwand!D9+Betriebsaufwand!D10)/12+Betriebsaufwand!D6/12+Betriebsaufwand!D14/12+Betriebsaufwand!D7/12</f>
        <v>59195.06242488379</v>
      </c>
      <c r="P4" s="682">
        <f>SUM(C4:O4)</f>
        <v>80138.97776879914</v>
      </c>
      <c r="Q4" s="683">
        <f>P4</f>
        <v>80138.97776879914</v>
      </c>
      <c r="R4" s="696">
        <v>0</v>
      </c>
      <c r="S4" s="687">
        <f>R4</f>
        <v>0</v>
      </c>
      <c r="T4" s="703">
        <f>'Plan Bilanz'!B22+'Plan Bilanz'!B29</f>
        <v>520000</v>
      </c>
      <c r="U4" s="738">
        <f>S4+T4-Q4</f>
        <v>439861.0222312008</v>
      </c>
      <c r="W4" s="705">
        <v>1</v>
      </c>
      <c r="X4" s="706">
        <f>U4</f>
        <v>439861.0222312008</v>
      </c>
    </row>
    <row r="5" spans="2:24" ht="15" customHeight="1">
      <c r="B5" s="558" t="s">
        <v>271</v>
      </c>
      <c r="C5" s="253">
        <v>0</v>
      </c>
      <c r="D5" s="253">
        <v>0</v>
      </c>
      <c r="E5" s="253">
        <v>0</v>
      </c>
      <c r="F5" s="253">
        <v>0</v>
      </c>
      <c r="G5" s="253">
        <v>0</v>
      </c>
      <c r="H5" s="253">
        <v>0</v>
      </c>
      <c r="I5" s="253">
        <v>0</v>
      </c>
      <c r="J5" s="252">
        <v>0</v>
      </c>
      <c r="K5" s="252">
        <v>0</v>
      </c>
      <c r="L5" s="252">
        <f>L4</f>
        <v>13214.285714285714</v>
      </c>
      <c r="M5" s="252">
        <f>M4</f>
        <v>2500</v>
      </c>
      <c r="N5" s="252">
        <f>N4</f>
        <v>5229.6296296296305</v>
      </c>
      <c r="O5" s="549">
        <f>(Betriebsaufwand!D8+Betriebsaufwand!D9+Betriebsaufwand!D10)/12+Betriebsaufwand!D7/12+Betriebsaufwand!D6/12+Betriebsaufwand!D14/12</f>
        <v>9195.062424883788</v>
      </c>
      <c r="P5" s="684">
        <f>SUM(C5:O5)</f>
        <v>30138.977768799134</v>
      </c>
      <c r="Q5" s="685">
        <f>P4+P5</f>
        <v>110277.95553759827</v>
      </c>
      <c r="R5" s="697">
        <v>0</v>
      </c>
      <c r="S5" s="678">
        <f>S4+R5</f>
        <v>0</v>
      </c>
      <c r="T5" s="701">
        <f>T4</f>
        <v>520000</v>
      </c>
      <c r="U5" s="739">
        <f aca="true" t="shared" si="0" ref="U5:U27">S5+T5-Q5</f>
        <v>409722.0444624017</v>
      </c>
      <c r="W5" s="705">
        <v>2</v>
      </c>
      <c r="X5" s="706">
        <f aca="true" t="shared" si="1" ref="X5:X59">U5</f>
        <v>409722.0444624017</v>
      </c>
    </row>
    <row r="6" spans="2:24" ht="15" customHeight="1">
      <c r="B6" s="558" t="s">
        <v>272</v>
      </c>
      <c r="C6" s="253">
        <v>0</v>
      </c>
      <c r="D6" s="253">
        <v>0</v>
      </c>
      <c r="E6" s="253">
        <v>0</v>
      </c>
      <c r="F6" s="253">
        <v>0</v>
      </c>
      <c r="G6" s="253">
        <v>0</v>
      </c>
      <c r="H6" s="253">
        <v>0</v>
      </c>
      <c r="I6" s="253">
        <v>0</v>
      </c>
      <c r="J6" s="252">
        <v>0</v>
      </c>
      <c r="K6" s="252">
        <v>0</v>
      </c>
      <c r="L6" s="252">
        <f aca="true" t="shared" si="2" ref="L6:L13">L5</f>
        <v>13214.285714285714</v>
      </c>
      <c r="M6" s="252">
        <f aca="true" t="shared" si="3" ref="M6:M14">M5</f>
        <v>2500</v>
      </c>
      <c r="N6" s="252">
        <f aca="true" t="shared" si="4" ref="N6:N14">N5</f>
        <v>5229.6296296296305</v>
      </c>
      <c r="O6" s="549">
        <f>O5</f>
        <v>9195.062424883788</v>
      </c>
      <c r="P6" s="684">
        <f aca="true" t="shared" si="5" ref="P6:P14">SUM(C6:O6)</f>
        <v>30138.977768799134</v>
      </c>
      <c r="Q6" s="685">
        <f aca="true" t="shared" si="6" ref="Q6:Q17">Q5+P6</f>
        <v>140416.9333063974</v>
      </c>
      <c r="R6" s="697">
        <v>0</v>
      </c>
      <c r="S6" s="678">
        <f aca="true" t="shared" si="7" ref="S6:S28">S5+R6</f>
        <v>0</v>
      </c>
      <c r="T6" s="701">
        <f>T4</f>
        <v>520000</v>
      </c>
      <c r="U6" s="739">
        <f t="shared" si="0"/>
        <v>379583.0666936026</v>
      </c>
      <c r="W6" s="705">
        <v>3</v>
      </c>
      <c r="X6" s="706">
        <f t="shared" si="1"/>
        <v>379583.0666936026</v>
      </c>
    </row>
    <row r="7" spans="2:24" ht="15" customHeight="1">
      <c r="B7" s="558" t="s">
        <v>273</v>
      </c>
      <c r="C7" s="253">
        <v>0</v>
      </c>
      <c r="D7" s="253">
        <v>0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2">
        <v>0</v>
      </c>
      <c r="K7" s="252">
        <v>0</v>
      </c>
      <c r="L7" s="252">
        <f t="shared" si="2"/>
        <v>13214.285714285714</v>
      </c>
      <c r="M7" s="252">
        <f t="shared" si="3"/>
        <v>2500</v>
      </c>
      <c r="N7" s="252">
        <f t="shared" si="4"/>
        <v>5229.6296296296305</v>
      </c>
      <c r="O7" s="549">
        <f>O4</f>
        <v>59195.06242488379</v>
      </c>
      <c r="P7" s="684">
        <f t="shared" si="5"/>
        <v>80138.97776879914</v>
      </c>
      <c r="Q7" s="685">
        <f t="shared" si="6"/>
        <v>220555.91107519655</v>
      </c>
      <c r="R7" s="697">
        <v>0</v>
      </c>
      <c r="S7" s="678">
        <f t="shared" si="7"/>
        <v>0</v>
      </c>
      <c r="T7" s="701">
        <f>T4</f>
        <v>520000</v>
      </c>
      <c r="U7" s="739">
        <f t="shared" si="0"/>
        <v>299444.0889248034</v>
      </c>
      <c r="W7" s="705">
        <v>4</v>
      </c>
      <c r="X7" s="706">
        <f t="shared" si="1"/>
        <v>299444.0889248034</v>
      </c>
    </row>
    <row r="8" spans="2:24" ht="15" customHeight="1">
      <c r="B8" s="558" t="s">
        <v>274</v>
      </c>
      <c r="C8" s="253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2">
        <f>Betriebsaufwand!D5/4</f>
        <v>8769.23076923077</v>
      </c>
      <c r="K8" s="252">
        <f>Betriebsaufwand!D11/8</f>
        <v>2740.3846153846152</v>
      </c>
      <c r="L8" s="252">
        <f t="shared" si="2"/>
        <v>13214.285714285714</v>
      </c>
      <c r="M8" s="252">
        <f t="shared" si="3"/>
        <v>2500</v>
      </c>
      <c r="N8" s="252">
        <f t="shared" si="4"/>
        <v>5229.6296296296305</v>
      </c>
      <c r="O8" s="549">
        <f>O6</f>
        <v>9195.062424883788</v>
      </c>
      <c r="P8" s="684">
        <f t="shared" si="5"/>
        <v>41648.59315341452</v>
      </c>
      <c r="Q8" s="685">
        <f t="shared" si="6"/>
        <v>262204.50422861107</v>
      </c>
      <c r="R8" s="697">
        <v>0</v>
      </c>
      <c r="S8" s="678">
        <f t="shared" si="7"/>
        <v>0</v>
      </c>
      <c r="T8" s="701">
        <f>T4</f>
        <v>520000</v>
      </c>
      <c r="U8" s="739">
        <f t="shared" si="0"/>
        <v>257795.49577138893</v>
      </c>
      <c r="W8" s="705">
        <v>5</v>
      </c>
      <c r="X8" s="706">
        <f t="shared" si="1"/>
        <v>257795.49577138893</v>
      </c>
    </row>
    <row r="9" spans="2:24" ht="15" customHeight="1">
      <c r="B9" s="558" t="s">
        <v>275</v>
      </c>
      <c r="C9" s="253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2">
        <f aca="true" t="shared" si="8" ref="J9:K11">J8</f>
        <v>8769.23076923077</v>
      </c>
      <c r="K9" s="252">
        <f t="shared" si="8"/>
        <v>2740.3846153846152</v>
      </c>
      <c r="L9" s="252">
        <f>L8*2</f>
        <v>26428.571428571428</v>
      </c>
      <c r="M9" s="252">
        <f t="shared" si="3"/>
        <v>2500</v>
      </c>
      <c r="N9" s="252">
        <f t="shared" si="4"/>
        <v>5229.6296296296305</v>
      </c>
      <c r="O9" s="549">
        <f>O8</f>
        <v>9195.062424883788</v>
      </c>
      <c r="P9" s="684">
        <f t="shared" si="5"/>
        <v>54862.87886770023</v>
      </c>
      <c r="Q9" s="685">
        <f t="shared" si="6"/>
        <v>317067.3830963113</v>
      </c>
      <c r="R9" s="697">
        <v>0</v>
      </c>
      <c r="S9" s="678">
        <f t="shared" si="7"/>
        <v>0</v>
      </c>
      <c r="T9" s="701">
        <f>T4</f>
        <v>520000</v>
      </c>
      <c r="U9" s="739">
        <f t="shared" si="0"/>
        <v>202932.6169036887</v>
      </c>
      <c r="W9" s="705">
        <v>6</v>
      </c>
      <c r="X9" s="706">
        <f t="shared" si="1"/>
        <v>202932.6169036887</v>
      </c>
    </row>
    <row r="10" spans="2:24" ht="15" customHeight="1">
      <c r="B10" s="558" t="s">
        <v>276</v>
      </c>
      <c r="C10" s="253">
        <v>0</v>
      </c>
      <c r="D10" s="253">
        <v>0</v>
      </c>
      <c r="E10" s="253">
        <v>0</v>
      </c>
      <c r="F10" s="253">
        <v>0</v>
      </c>
      <c r="G10" s="253">
        <v>0</v>
      </c>
      <c r="H10" s="253">
        <v>0</v>
      </c>
      <c r="I10" s="253">
        <v>0</v>
      </c>
      <c r="J10" s="252">
        <f t="shared" si="8"/>
        <v>8769.23076923077</v>
      </c>
      <c r="K10" s="252">
        <f t="shared" si="8"/>
        <v>2740.3846153846152</v>
      </c>
      <c r="L10" s="252">
        <f>L4</f>
        <v>13214.285714285714</v>
      </c>
      <c r="M10" s="252">
        <f t="shared" si="3"/>
        <v>2500</v>
      </c>
      <c r="N10" s="252">
        <f t="shared" si="4"/>
        <v>5229.6296296296305</v>
      </c>
      <c r="O10" s="549">
        <f>O8</f>
        <v>9195.062424883788</v>
      </c>
      <c r="P10" s="684">
        <f t="shared" si="5"/>
        <v>41648.59315341452</v>
      </c>
      <c r="Q10" s="685">
        <f t="shared" si="6"/>
        <v>358715.9762497258</v>
      </c>
      <c r="R10" s="697">
        <v>0</v>
      </c>
      <c r="S10" s="678">
        <f t="shared" si="7"/>
        <v>0</v>
      </c>
      <c r="T10" s="701">
        <f>T4</f>
        <v>520000</v>
      </c>
      <c r="U10" s="739">
        <f t="shared" si="0"/>
        <v>161284.0237502742</v>
      </c>
      <c r="W10" s="705">
        <v>7</v>
      </c>
      <c r="X10" s="706">
        <f t="shared" si="1"/>
        <v>161284.0237502742</v>
      </c>
    </row>
    <row r="11" spans="2:24" ht="15" customHeight="1">
      <c r="B11" s="558" t="s">
        <v>277</v>
      </c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2">
        <f t="shared" si="8"/>
        <v>8769.23076923077</v>
      </c>
      <c r="K11" s="252">
        <f t="shared" si="8"/>
        <v>2740.3846153846152</v>
      </c>
      <c r="L11" s="252">
        <f t="shared" si="2"/>
        <v>13214.285714285714</v>
      </c>
      <c r="M11" s="252">
        <f t="shared" si="3"/>
        <v>2500</v>
      </c>
      <c r="N11" s="252">
        <f t="shared" si="4"/>
        <v>5229.6296296296305</v>
      </c>
      <c r="O11" s="549">
        <f>O8</f>
        <v>9195.062424883788</v>
      </c>
      <c r="P11" s="684">
        <f t="shared" si="5"/>
        <v>41648.59315341452</v>
      </c>
      <c r="Q11" s="685">
        <f t="shared" si="6"/>
        <v>400364.56940314034</v>
      </c>
      <c r="R11" s="697">
        <v>0</v>
      </c>
      <c r="S11" s="678">
        <f t="shared" si="7"/>
        <v>0</v>
      </c>
      <c r="T11" s="701">
        <f>T4</f>
        <v>520000</v>
      </c>
      <c r="U11" s="739">
        <f t="shared" si="0"/>
        <v>119635.43059685966</v>
      </c>
      <c r="W11" s="705">
        <v>8</v>
      </c>
      <c r="X11" s="706">
        <f t="shared" si="1"/>
        <v>119635.43059685966</v>
      </c>
    </row>
    <row r="12" spans="2:24" ht="15" customHeight="1">
      <c r="B12" s="558" t="s">
        <v>278</v>
      </c>
      <c r="C12" s="253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2">
        <v>0</v>
      </c>
      <c r="K12" s="252">
        <f>K11</f>
        <v>2740.3846153846152</v>
      </c>
      <c r="L12" s="252">
        <f t="shared" si="2"/>
        <v>13214.285714285714</v>
      </c>
      <c r="M12" s="252">
        <f t="shared" si="3"/>
        <v>2500</v>
      </c>
      <c r="N12" s="252">
        <f t="shared" si="4"/>
        <v>5229.6296296296305</v>
      </c>
      <c r="O12" s="549">
        <f>O8</f>
        <v>9195.062424883788</v>
      </c>
      <c r="P12" s="684">
        <f t="shared" si="5"/>
        <v>32879.36238418375</v>
      </c>
      <c r="Q12" s="685">
        <f t="shared" si="6"/>
        <v>433243.9317873241</v>
      </c>
      <c r="R12" s="697">
        <v>0</v>
      </c>
      <c r="S12" s="678">
        <f t="shared" si="7"/>
        <v>0</v>
      </c>
      <c r="T12" s="701">
        <f>T4</f>
        <v>520000</v>
      </c>
      <c r="U12" s="739">
        <f t="shared" si="0"/>
        <v>86756.06821267592</v>
      </c>
      <c r="W12" s="705">
        <v>9</v>
      </c>
      <c r="X12" s="706">
        <f t="shared" si="1"/>
        <v>86756.06821267592</v>
      </c>
    </row>
    <row r="13" spans="2:24" ht="15" customHeight="1">
      <c r="B13" s="558" t="s">
        <v>279</v>
      </c>
      <c r="C13" s="253"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2">
        <v>0</v>
      </c>
      <c r="K13" s="252">
        <f>K12</f>
        <v>2740.3846153846152</v>
      </c>
      <c r="L13" s="252">
        <f t="shared" si="2"/>
        <v>13214.285714285714</v>
      </c>
      <c r="M13" s="252">
        <f t="shared" si="3"/>
        <v>2500</v>
      </c>
      <c r="N13" s="252">
        <f t="shared" si="4"/>
        <v>5229.6296296296305</v>
      </c>
      <c r="O13" s="549">
        <f>O8</f>
        <v>9195.062424883788</v>
      </c>
      <c r="P13" s="684">
        <f t="shared" si="5"/>
        <v>32879.36238418375</v>
      </c>
      <c r="Q13" s="685">
        <f t="shared" si="6"/>
        <v>466123.2941715078</v>
      </c>
      <c r="R13" s="697">
        <v>0</v>
      </c>
      <c r="S13" s="678">
        <f>S12+R13</f>
        <v>0</v>
      </c>
      <c r="T13" s="701">
        <f>T4</f>
        <v>520000</v>
      </c>
      <c r="U13" s="740">
        <f t="shared" si="0"/>
        <v>53876.70582849218</v>
      </c>
      <c r="W13" s="705">
        <v>10</v>
      </c>
      <c r="X13" s="706">
        <f t="shared" si="1"/>
        <v>53876.70582849218</v>
      </c>
    </row>
    <row r="14" spans="2:24" ht="15" customHeight="1">
      <c r="B14" s="558" t="s">
        <v>280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252">
        <v>0</v>
      </c>
      <c r="K14" s="252">
        <f>K13</f>
        <v>2740.3846153846152</v>
      </c>
      <c r="L14" s="252">
        <f>L13*2</f>
        <v>26428.571428571428</v>
      </c>
      <c r="M14" s="252">
        <f t="shared" si="3"/>
        <v>2500</v>
      </c>
      <c r="N14" s="252">
        <f t="shared" si="4"/>
        <v>5229.6296296296305</v>
      </c>
      <c r="O14" s="549">
        <f>O8</f>
        <v>9195.062424883788</v>
      </c>
      <c r="P14" s="684">
        <f t="shared" si="5"/>
        <v>46093.648098469464</v>
      </c>
      <c r="Q14" s="685">
        <f t="shared" si="6"/>
        <v>512216.9422699773</v>
      </c>
      <c r="R14" s="697">
        <v>0</v>
      </c>
      <c r="S14" s="678">
        <f t="shared" si="7"/>
        <v>0</v>
      </c>
      <c r="T14" s="701">
        <f>T4</f>
        <v>520000</v>
      </c>
      <c r="U14" s="740">
        <f t="shared" si="0"/>
        <v>7783.057730022701</v>
      </c>
      <c r="W14" s="705">
        <v>11</v>
      </c>
      <c r="X14" s="706">
        <f t="shared" si="1"/>
        <v>7783.057730022701</v>
      </c>
    </row>
    <row r="15" spans="2:24" ht="15" customHeight="1" thickBot="1">
      <c r="B15" s="559" t="s">
        <v>281</v>
      </c>
      <c r="C15" s="551">
        <v>0</v>
      </c>
      <c r="D15" s="551">
        <v>0</v>
      </c>
      <c r="E15" s="551">
        <v>0</v>
      </c>
      <c r="F15" s="551">
        <v>0</v>
      </c>
      <c r="G15" s="551">
        <v>0</v>
      </c>
      <c r="H15" s="551">
        <v>0</v>
      </c>
      <c r="I15" s="551">
        <v>0</v>
      </c>
      <c r="J15" s="552">
        <v>0</v>
      </c>
      <c r="K15" s="552">
        <f>K13</f>
        <v>2740.3846153846152</v>
      </c>
      <c r="L15" s="552">
        <f>L13</f>
        <v>13214.285714285714</v>
      </c>
      <c r="M15" s="552">
        <f>M14</f>
        <v>2500</v>
      </c>
      <c r="N15" s="552">
        <f>N13</f>
        <v>5229.6296296296305</v>
      </c>
      <c r="O15" s="553">
        <f>O8</f>
        <v>9195.062424883788</v>
      </c>
      <c r="P15" s="686">
        <f aca="true" t="shared" si="9" ref="P15:P38">SUM(C15:O15)</f>
        <v>32879.36238418375</v>
      </c>
      <c r="Q15" s="688">
        <f t="shared" si="6"/>
        <v>545096.3046541611</v>
      </c>
      <c r="R15" s="698">
        <f>('Produktion und Absatz'!CD9+'Produktion und Absatz'!CD10+'Produktion und Absatz'!CD11+'Produktion und Absatz'!CD12+'Produktion und Absatz'!CD13+'Produktion und Absatz'!CD14+'Produktion und Absatz'!CD15+'Produktion und Absatz'!CD16)/9</f>
        <v>52833.23618666666</v>
      </c>
      <c r="S15" s="689">
        <f t="shared" si="7"/>
        <v>52833.23618666666</v>
      </c>
      <c r="T15" s="702">
        <f>T4</f>
        <v>520000</v>
      </c>
      <c r="U15" s="741">
        <f t="shared" si="0"/>
        <v>27736.93153250555</v>
      </c>
      <c r="W15" s="705">
        <v>12</v>
      </c>
      <c r="X15" s="706">
        <f t="shared" si="1"/>
        <v>27736.93153250555</v>
      </c>
    </row>
    <row r="16" spans="2:24" ht="15" customHeight="1">
      <c r="B16" s="557" t="s">
        <v>286</v>
      </c>
      <c r="C16" s="546">
        <v>0</v>
      </c>
      <c r="D16" s="546">
        <v>0</v>
      </c>
      <c r="E16" s="546">
        <v>0</v>
      </c>
      <c r="F16" s="546">
        <v>0</v>
      </c>
      <c r="G16" s="546">
        <v>0</v>
      </c>
      <c r="H16" s="546">
        <v>0</v>
      </c>
      <c r="I16" s="547">
        <f>('Plan Bilanz'!B29-'Plan Bilanz'!D29)/12</f>
        <v>3055.555555555557</v>
      </c>
      <c r="J16" s="547">
        <v>0</v>
      </c>
      <c r="K16" s="547">
        <f>Betriebsaufwand!E11/12</f>
        <v>2039.423076923077</v>
      </c>
      <c r="L16" s="547">
        <f>Personalaufwand!E8/14</f>
        <v>16221.42857142857</v>
      </c>
      <c r="M16" s="547">
        <f>'Leasing u. Miete'!E29/12</f>
        <v>2525</v>
      </c>
      <c r="N16" s="547">
        <f>'Leasing u. Miete'!E22/12</f>
        <v>9029.62962962963</v>
      </c>
      <c r="O16" s="548">
        <f>(Betriebsaufwand!E8+Betriebsaufwand!E9+Betriebsaufwand!E10+Betriebsaufwand!E14+Betriebsaufwand!E15+Betriebsaufwand!E6+Betriebsaufwand!E7)/12</f>
        <v>11046.499148676688</v>
      </c>
      <c r="P16" s="682">
        <f t="shared" si="9"/>
        <v>43917.53598221352</v>
      </c>
      <c r="Q16" s="683">
        <f t="shared" si="6"/>
        <v>589013.8406363747</v>
      </c>
      <c r="R16" s="696">
        <f>R15</f>
        <v>52833.23618666666</v>
      </c>
      <c r="S16" s="687">
        <f t="shared" si="7"/>
        <v>105666.47237333332</v>
      </c>
      <c r="T16" s="703">
        <f>T4</f>
        <v>520000</v>
      </c>
      <c r="U16" s="738">
        <f t="shared" si="0"/>
        <v>36652.63173695863</v>
      </c>
      <c r="W16" s="705">
        <v>13</v>
      </c>
      <c r="X16" s="706">
        <f t="shared" si="1"/>
        <v>36652.63173695863</v>
      </c>
    </row>
    <row r="17" spans="2:24" ht="15" customHeight="1">
      <c r="B17" s="558" t="s">
        <v>287</v>
      </c>
      <c r="C17" s="253">
        <v>0</v>
      </c>
      <c r="D17" s="253">
        <v>0</v>
      </c>
      <c r="E17" s="253">
        <v>0</v>
      </c>
      <c r="F17" s="253">
        <v>0</v>
      </c>
      <c r="G17" s="253">
        <v>0</v>
      </c>
      <c r="H17" s="253">
        <v>0</v>
      </c>
      <c r="I17" s="252">
        <f aca="true" t="shared" si="10" ref="I17:I27">I16</f>
        <v>3055.555555555557</v>
      </c>
      <c r="J17" s="252">
        <v>0</v>
      </c>
      <c r="K17" s="252">
        <f>K16</f>
        <v>2039.423076923077</v>
      </c>
      <c r="L17" s="252">
        <f>L16</f>
        <v>16221.42857142857</v>
      </c>
      <c r="M17" s="252">
        <f>M16</f>
        <v>2525</v>
      </c>
      <c r="N17" s="252">
        <f>N16</f>
        <v>9029.62962962963</v>
      </c>
      <c r="O17" s="549">
        <f>O16</f>
        <v>11046.499148676688</v>
      </c>
      <c r="P17" s="684">
        <f t="shared" si="9"/>
        <v>43917.53598221352</v>
      </c>
      <c r="Q17" s="685">
        <f t="shared" si="6"/>
        <v>632931.3766185882</v>
      </c>
      <c r="R17" s="697">
        <f>R15</f>
        <v>52833.23618666666</v>
      </c>
      <c r="S17" s="678">
        <f t="shared" si="7"/>
        <v>158499.70856</v>
      </c>
      <c r="T17" s="701">
        <f>T16</f>
        <v>520000</v>
      </c>
      <c r="U17" s="739">
        <f t="shared" si="0"/>
        <v>45568.331941411714</v>
      </c>
      <c r="W17" s="705">
        <v>14</v>
      </c>
      <c r="X17" s="706">
        <f t="shared" si="1"/>
        <v>45568.331941411714</v>
      </c>
    </row>
    <row r="18" spans="2:24" ht="15" customHeight="1">
      <c r="B18" s="558" t="s">
        <v>288</v>
      </c>
      <c r="C18" s="253">
        <v>0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2">
        <f t="shared" si="10"/>
        <v>3055.555555555557</v>
      </c>
      <c r="J18" s="252">
        <v>0</v>
      </c>
      <c r="K18" s="252">
        <f aca="true" t="shared" si="11" ref="K18:K26">K17</f>
        <v>2039.423076923077</v>
      </c>
      <c r="L18" s="252">
        <f>L16</f>
        <v>16221.42857142857</v>
      </c>
      <c r="M18" s="252">
        <f>M16</f>
        <v>2525</v>
      </c>
      <c r="N18" s="252">
        <f aca="true" t="shared" si="12" ref="N18:N26">N17</f>
        <v>9029.62962962963</v>
      </c>
      <c r="O18" s="549">
        <f>O16</f>
        <v>11046.499148676688</v>
      </c>
      <c r="P18" s="684">
        <f t="shared" si="9"/>
        <v>43917.53598221352</v>
      </c>
      <c r="Q18" s="685">
        <f aca="true" t="shared" si="13" ref="Q18:Q27">Q17+P18</f>
        <v>676848.9126008018</v>
      </c>
      <c r="R18" s="697">
        <f>R15</f>
        <v>52833.23618666666</v>
      </c>
      <c r="S18" s="678">
        <f t="shared" si="7"/>
        <v>211332.94474666665</v>
      </c>
      <c r="T18" s="701">
        <f>T16</f>
        <v>520000</v>
      </c>
      <c r="U18" s="739">
        <f t="shared" si="0"/>
        <v>54484.032145864796</v>
      </c>
      <c r="W18" s="705">
        <v>15</v>
      </c>
      <c r="X18" s="706">
        <f t="shared" si="1"/>
        <v>54484.032145864796</v>
      </c>
    </row>
    <row r="19" spans="2:24" ht="15" customHeight="1">
      <c r="B19" s="558" t="s">
        <v>289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2">
        <f t="shared" si="10"/>
        <v>3055.555555555557</v>
      </c>
      <c r="J19" s="252">
        <v>0</v>
      </c>
      <c r="K19" s="252">
        <f t="shared" si="11"/>
        <v>2039.423076923077</v>
      </c>
      <c r="L19" s="252">
        <f>L16</f>
        <v>16221.42857142857</v>
      </c>
      <c r="M19" s="252">
        <f>M16</f>
        <v>2525</v>
      </c>
      <c r="N19" s="252">
        <f t="shared" si="12"/>
        <v>9029.62962962963</v>
      </c>
      <c r="O19" s="549">
        <f>O16</f>
        <v>11046.499148676688</v>
      </c>
      <c r="P19" s="684">
        <f t="shared" si="9"/>
        <v>43917.53598221352</v>
      </c>
      <c r="Q19" s="685">
        <f t="shared" si="13"/>
        <v>720766.4485830154</v>
      </c>
      <c r="R19" s="697">
        <f>R15</f>
        <v>52833.23618666666</v>
      </c>
      <c r="S19" s="678">
        <f t="shared" si="7"/>
        <v>264166.1809333333</v>
      </c>
      <c r="T19" s="701">
        <f>T16</f>
        <v>520000</v>
      </c>
      <c r="U19" s="739">
        <f t="shared" si="0"/>
        <v>63399.73235031788</v>
      </c>
      <c r="W19" s="705">
        <v>16</v>
      </c>
      <c r="X19" s="706">
        <f t="shared" si="1"/>
        <v>63399.73235031788</v>
      </c>
    </row>
    <row r="20" spans="2:24" ht="15" customHeight="1">
      <c r="B20" s="558" t="s">
        <v>290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2">
        <f t="shared" si="10"/>
        <v>3055.555555555557</v>
      </c>
      <c r="J20" s="252">
        <f>Betriebsaufwand!E5/4</f>
        <v>10176.923076923076</v>
      </c>
      <c r="K20" s="252">
        <f t="shared" si="11"/>
        <v>2039.423076923077</v>
      </c>
      <c r="L20" s="252">
        <f>L19</f>
        <v>16221.42857142857</v>
      </c>
      <c r="M20" s="252">
        <f>M16</f>
        <v>2525</v>
      </c>
      <c r="N20" s="252">
        <f t="shared" si="12"/>
        <v>9029.62962962963</v>
      </c>
      <c r="O20" s="549">
        <f>O16</f>
        <v>11046.499148676688</v>
      </c>
      <c r="P20" s="684">
        <f t="shared" si="9"/>
        <v>54094.4590591366</v>
      </c>
      <c r="Q20" s="685">
        <f t="shared" si="13"/>
        <v>774860.9076421519</v>
      </c>
      <c r="R20" s="697">
        <f>R15</f>
        <v>52833.23618666666</v>
      </c>
      <c r="S20" s="678">
        <f t="shared" si="7"/>
        <v>316999.41711999994</v>
      </c>
      <c r="T20" s="701">
        <f>T16</f>
        <v>520000</v>
      </c>
      <c r="U20" s="739">
        <f t="shared" si="0"/>
        <v>62138.509477847954</v>
      </c>
      <c r="W20" s="705">
        <v>17</v>
      </c>
      <c r="X20" s="706">
        <f t="shared" si="1"/>
        <v>62138.509477847954</v>
      </c>
    </row>
    <row r="21" spans="2:24" ht="15" customHeight="1">
      <c r="B21" s="558" t="s">
        <v>291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2">
        <f t="shared" si="10"/>
        <v>3055.555555555557</v>
      </c>
      <c r="J21" s="252">
        <f>J20</f>
        <v>10176.923076923076</v>
      </c>
      <c r="K21" s="252">
        <f t="shared" si="11"/>
        <v>2039.423076923077</v>
      </c>
      <c r="L21" s="252">
        <f>L19*2</f>
        <v>32442.85714285714</v>
      </c>
      <c r="M21" s="252">
        <f>M20</f>
        <v>2525</v>
      </c>
      <c r="N21" s="252">
        <f t="shared" si="12"/>
        <v>9029.62962962963</v>
      </c>
      <c r="O21" s="549">
        <v>11561.604556725755</v>
      </c>
      <c r="P21" s="684">
        <f t="shared" si="9"/>
        <v>70830.99303861424</v>
      </c>
      <c r="Q21" s="685">
        <f t="shared" si="13"/>
        <v>845691.9006807662</v>
      </c>
      <c r="R21" s="697">
        <f>R15</f>
        <v>52833.23618666666</v>
      </c>
      <c r="S21" s="678">
        <f t="shared" si="7"/>
        <v>369832.6533066666</v>
      </c>
      <c r="T21" s="701">
        <f>T16</f>
        <v>520000</v>
      </c>
      <c r="U21" s="739">
        <f t="shared" si="0"/>
        <v>44140.75262590032</v>
      </c>
      <c r="W21" s="705">
        <v>18</v>
      </c>
      <c r="X21" s="706">
        <f t="shared" si="1"/>
        <v>44140.75262590032</v>
      </c>
    </row>
    <row r="22" spans="2:24" ht="15" customHeight="1">
      <c r="B22" s="558" t="s">
        <v>292</v>
      </c>
      <c r="C22" s="253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  <c r="I22" s="252">
        <f t="shared" si="10"/>
        <v>3055.555555555557</v>
      </c>
      <c r="J22" s="252">
        <f>J20</f>
        <v>10176.923076923076</v>
      </c>
      <c r="K22" s="252">
        <f t="shared" si="11"/>
        <v>2039.423076923077</v>
      </c>
      <c r="L22" s="252">
        <f>L19</f>
        <v>16221.42857142857</v>
      </c>
      <c r="M22" s="252">
        <f>M20</f>
        <v>2525</v>
      </c>
      <c r="N22" s="252">
        <f t="shared" si="12"/>
        <v>9029.62962962963</v>
      </c>
      <c r="O22" s="549">
        <v>11561.604556725755</v>
      </c>
      <c r="P22" s="684">
        <f t="shared" si="9"/>
        <v>54609.564467185664</v>
      </c>
      <c r="Q22" s="685">
        <f t="shared" si="13"/>
        <v>900301.4651479519</v>
      </c>
      <c r="R22" s="697">
        <f>R15</f>
        <v>52833.23618666666</v>
      </c>
      <c r="S22" s="678">
        <f t="shared" si="7"/>
        <v>422665.88949333323</v>
      </c>
      <c r="T22" s="701">
        <f>T16</f>
        <v>520000</v>
      </c>
      <c r="U22" s="739">
        <f t="shared" si="0"/>
        <v>42364.424345381325</v>
      </c>
      <c r="W22" s="705">
        <v>19</v>
      </c>
      <c r="X22" s="706">
        <f t="shared" si="1"/>
        <v>42364.424345381325</v>
      </c>
    </row>
    <row r="23" spans="2:24" ht="15" customHeight="1">
      <c r="B23" s="558" t="s">
        <v>293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2">
        <f t="shared" si="10"/>
        <v>3055.555555555557</v>
      </c>
      <c r="J23" s="252">
        <f>J20</f>
        <v>10176.923076923076</v>
      </c>
      <c r="K23" s="252">
        <f t="shared" si="11"/>
        <v>2039.423076923077</v>
      </c>
      <c r="L23" s="252">
        <f>L22</f>
        <v>16221.42857142857</v>
      </c>
      <c r="M23" s="252">
        <f>M20</f>
        <v>2525</v>
      </c>
      <c r="N23" s="252">
        <f t="shared" si="12"/>
        <v>9029.62962962963</v>
      </c>
      <c r="O23" s="549">
        <v>11561.604556725755</v>
      </c>
      <c r="P23" s="684">
        <f t="shared" si="9"/>
        <v>54609.564467185664</v>
      </c>
      <c r="Q23" s="685">
        <f t="shared" si="13"/>
        <v>954911.0296151375</v>
      </c>
      <c r="R23" s="697">
        <f>R15</f>
        <v>52833.23618666666</v>
      </c>
      <c r="S23" s="678">
        <f t="shared" si="7"/>
        <v>475499.1256799999</v>
      </c>
      <c r="T23" s="701">
        <f>T16</f>
        <v>520000</v>
      </c>
      <c r="U23" s="740">
        <f t="shared" si="0"/>
        <v>40588.09606486233</v>
      </c>
      <c r="W23" s="705">
        <v>20</v>
      </c>
      <c r="X23" s="706">
        <f t="shared" si="1"/>
        <v>40588.09606486233</v>
      </c>
    </row>
    <row r="24" spans="2:24" ht="15" customHeight="1">
      <c r="B24" s="558" t="s">
        <v>294</v>
      </c>
      <c r="C24" s="253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  <c r="I24" s="252">
        <f t="shared" si="10"/>
        <v>3055.555555555557</v>
      </c>
      <c r="J24" s="252">
        <v>0</v>
      </c>
      <c r="K24" s="252">
        <f t="shared" si="11"/>
        <v>2039.423076923077</v>
      </c>
      <c r="L24" s="252">
        <f>L22</f>
        <v>16221.42857142857</v>
      </c>
      <c r="M24" s="252">
        <f>M20</f>
        <v>2525</v>
      </c>
      <c r="N24" s="252">
        <f t="shared" si="12"/>
        <v>9029.62962962963</v>
      </c>
      <c r="O24" s="549">
        <f>O22</f>
        <v>11561.604556725755</v>
      </c>
      <c r="P24" s="684">
        <f t="shared" si="9"/>
        <v>44432.641390262586</v>
      </c>
      <c r="Q24" s="685">
        <f t="shared" si="13"/>
        <v>999343.6710054001</v>
      </c>
      <c r="R24" s="697">
        <f>('Produktion und Absatz'!CD17+'Produktion und Absatz'!CD18+'Produktion und Absatz'!CD19+'Produktion und Absatz'!CD20+'Produktion und Absatz'!CD21+'Produktion und Absatz'!CD22+'Produktion und Absatz'!CD23+'Produktion und Absatz'!CD24)/12</f>
        <v>50672.31373466667</v>
      </c>
      <c r="S24" s="678">
        <f t="shared" si="7"/>
        <v>526171.4394146665</v>
      </c>
      <c r="T24" s="701">
        <f>T16</f>
        <v>520000</v>
      </c>
      <c r="U24" s="739">
        <f t="shared" si="0"/>
        <v>46827.76840926637</v>
      </c>
      <c r="W24" s="705">
        <v>21</v>
      </c>
      <c r="X24" s="706">
        <f t="shared" si="1"/>
        <v>46827.76840926637</v>
      </c>
    </row>
    <row r="25" spans="2:24" ht="15" customHeight="1">
      <c r="B25" s="558" t="s">
        <v>295</v>
      </c>
      <c r="C25" s="253">
        <v>0</v>
      </c>
      <c r="D25" s="253">
        <v>0</v>
      </c>
      <c r="E25" s="253">
        <v>0</v>
      </c>
      <c r="F25" s="253">
        <v>0</v>
      </c>
      <c r="G25" s="253">
        <v>0</v>
      </c>
      <c r="H25" s="253">
        <v>0</v>
      </c>
      <c r="I25" s="252">
        <f t="shared" si="10"/>
        <v>3055.555555555557</v>
      </c>
      <c r="J25" s="252">
        <v>0</v>
      </c>
      <c r="K25" s="252">
        <f t="shared" si="11"/>
        <v>2039.423076923077</v>
      </c>
      <c r="L25" s="252">
        <f>L22</f>
        <v>16221.42857142857</v>
      </c>
      <c r="M25" s="252">
        <f>M24</f>
        <v>2525</v>
      </c>
      <c r="N25" s="252">
        <f t="shared" si="12"/>
        <v>9029.62962962963</v>
      </c>
      <c r="O25" s="549">
        <f>O22</f>
        <v>11561.604556725755</v>
      </c>
      <c r="P25" s="684">
        <f t="shared" si="9"/>
        <v>44432.641390262586</v>
      </c>
      <c r="Q25" s="685">
        <f t="shared" si="13"/>
        <v>1043776.3123956628</v>
      </c>
      <c r="R25" s="697">
        <f>R24</f>
        <v>50672.31373466667</v>
      </c>
      <c r="S25" s="678">
        <f t="shared" si="7"/>
        <v>576843.7531493332</v>
      </c>
      <c r="T25" s="701">
        <f>T16</f>
        <v>520000</v>
      </c>
      <c r="U25" s="739">
        <f t="shared" si="0"/>
        <v>53067.44075367041</v>
      </c>
      <c r="W25" s="705">
        <v>22</v>
      </c>
      <c r="X25" s="706">
        <f t="shared" si="1"/>
        <v>53067.44075367041</v>
      </c>
    </row>
    <row r="26" spans="2:24" ht="15" customHeight="1">
      <c r="B26" s="558" t="s">
        <v>296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0</v>
      </c>
      <c r="I26" s="252">
        <f t="shared" si="10"/>
        <v>3055.555555555557</v>
      </c>
      <c r="J26" s="252">
        <v>0</v>
      </c>
      <c r="K26" s="252">
        <f t="shared" si="11"/>
        <v>2039.423076923077</v>
      </c>
      <c r="L26" s="252">
        <f>L25*2</f>
        <v>32442.85714285714</v>
      </c>
      <c r="M26" s="252">
        <f>M24</f>
        <v>2525</v>
      </c>
      <c r="N26" s="252">
        <f t="shared" si="12"/>
        <v>9029.62962962963</v>
      </c>
      <c r="O26" s="549">
        <f>O22</f>
        <v>11561.604556725755</v>
      </c>
      <c r="P26" s="684">
        <f t="shared" si="9"/>
        <v>60654.06996169116</v>
      </c>
      <c r="Q26" s="685">
        <f t="shared" si="13"/>
        <v>1104430.3823573538</v>
      </c>
      <c r="R26" s="697">
        <f>R24</f>
        <v>50672.31373466667</v>
      </c>
      <c r="S26" s="678">
        <f t="shared" si="7"/>
        <v>627516.0668839999</v>
      </c>
      <c r="T26" s="701">
        <f>T16</f>
        <v>520000</v>
      </c>
      <c r="U26" s="739">
        <f t="shared" si="0"/>
        <v>43085.684526646044</v>
      </c>
      <c r="W26" s="705">
        <v>23</v>
      </c>
      <c r="X26" s="706">
        <f t="shared" si="1"/>
        <v>43085.684526646044</v>
      </c>
    </row>
    <row r="27" spans="2:24" ht="15" customHeight="1" thickBot="1">
      <c r="B27" s="559" t="s">
        <v>297</v>
      </c>
      <c r="C27" s="551">
        <v>0</v>
      </c>
      <c r="D27" s="551">
        <v>0</v>
      </c>
      <c r="E27" s="551">
        <v>0</v>
      </c>
      <c r="F27" s="551">
        <v>0</v>
      </c>
      <c r="G27" s="551">
        <v>0</v>
      </c>
      <c r="H27" s="551">
        <v>0</v>
      </c>
      <c r="I27" s="552">
        <f t="shared" si="10"/>
        <v>3055.555555555557</v>
      </c>
      <c r="J27" s="552">
        <v>0</v>
      </c>
      <c r="K27" s="552">
        <f>K25</f>
        <v>2039.423076923077</v>
      </c>
      <c r="L27" s="552">
        <f>L25</f>
        <v>16221.42857142857</v>
      </c>
      <c r="M27" s="552">
        <f>M24</f>
        <v>2525</v>
      </c>
      <c r="N27" s="552">
        <f>N16</f>
        <v>9029.62962962963</v>
      </c>
      <c r="O27" s="553">
        <f>O22</f>
        <v>11561.604556725755</v>
      </c>
      <c r="P27" s="686">
        <f t="shared" si="9"/>
        <v>44432.641390262586</v>
      </c>
      <c r="Q27" s="688">
        <f t="shared" si="13"/>
        <v>1148863.0237476164</v>
      </c>
      <c r="R27" s="698">
        <f>R24</f>
        <v>50672.31373466667</v>
      </c>
      <c r="S27" s="689">
        <f t="shared" si="7"/>
        <v>678188.3806186665</v>
      </c>
      <c r="T27" s="702">
        <f>T16</f>
        <v>520000</v>
      </c>
      <c r="U27" s="742">
        <f t="shared" si="0"/>
        <v>49325.356871050084</v>
      </c>
      <c r="W27" s="705">
        <v>24</v>
      </c>
      <c r="X27" s="706">
        <f t="shared" si="1"/>
        <v>49325.356871050084</v>
      </c>
    </row>
    <row r="28" spans="2:24" ht="15" customHeight="1">
      <c r="B28" s="557" t="s">
        <v>298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  <c r="I28" s="547">
        <f>('Plan Bilanz'!D29-'Plan Bilanz'!F29)/12</f>
        <v>3055.555555555557</v>
      </c>
      <c r="J28" s="547">
        <v>0</v>
      </c>
      <c r="K28" s="547">
        <f>Betriebsaufwand!F11/12</f>
        <v>2681.0320512820513</v>
      </c>
      <c r="L28" s="547">
        <f>Personalaufwand!F8/14</f>
        <v>16545.85714285714</v>
      </c>
      <c r="M28" s="547">
        <f>'Leasing u. Miete'!F29/12</f>
        <v>2550.25</v>
      </c>
      <c r="N28" s="547">
        <f>'Leasing u. Miete'!F22/12</f>
        <v>9622.222222222223</v>
      </c>
      <c r="O28" s="548">
        <f>(Betriebsaufwand!F6+Betriebsaufwand!F7+Betriebsaufwand!F8+Betriebsaufwand!F9+Betriebsaufwand!F10+Betriebsaufwand!F14+Betriebsaufwand!F15)/12</f>
        <v>13310.628522302164</v>
      </c>
      <c r="P28" s="682">
        <f t="shared" si="9"/>
        <v>47765.545494219135</v>
      </c>
      <c r="Q28" s="691">
        <f>Q27+P28</f>
        <v>1196628.5692418355</v>
      </c>
      <c r="R28" s="696">
        <f>R24</f>
        <v>50672.31373466667</v>
      </c>
      <c r="S28" s="687">
        <f t="shared" si="7"/>
        <v>728860.6943533332</v>
      </c>
      <c r="T28" s="703">
        <f>T16</f>
        <v>520000</v>
      </c>
      <c r="U28" s="738">
        <f>S28+T28-Q28</f>
        <v>52232.125111497706</v>
      </c>
      <c r="W28" s="705">
        <v>25</v>
      </c>
      <c r="X28" s="706">
        <f t="shared" si="1"/>
        <v>52232.125111497706</v>
      </c>
    </row>
    <row r="29" spans="2:24" ht="15" customHeight="1">
      <c r="B29" s="558" t="s">
        <v>299</v>
      </c>
      <c r="C29" s="253">
        <v>0</v>
      </c>
      <c r="D29" s="253">
        <v>0</v>
      </c>
      <c r="E29" s="253">
        <v>0</v>
      </c>
      <c r="F29" s="253">
        <v>0</v>
      </c>
      <c r="G29" s="253">
        <v>0</v>
      </c>
      <c r="H29" s="253">
        <v>0</v>
      </c>
      <c r="I29" s="252">
        <f>I28</f>
        <v>3055.555555555557</v>
      </c>
      <c r="J29" s="252">
        <v>0</v>
      </c>
      <c r="K29" s="252">
        <f>K28</f>
        <v>2681.0320512820513</v>
      </c>
      <c r="L29" s="252">
        <f>L28</f>
        <v>16545.85714285714</v>
      </c>
      <c r="M29" s="252">
        <f>M28</f>
        <v>2550.25</v>
      </c>
      <c r="N29" s="252">
        <f>N28</f>
        <v>9622.222222222223</v>
      </c>
      <c r="O29" s="549">
        <f>O28</f>
        <v>13310.628522302164</v>
      </c>
      <c r="P29" s="684">
        <f t="shared" si="9"/>
        <v>47765.545494219135</v>
      </c>
      <c r="Q29" s="692">
        <f>Q28+P29</f>
        <v>1244394.1147360546</v>
      </c>
      <c r="R29" s="697">
        <f>R24</f>
        <v>50672.31373466667</v>
      </c>
      <c r="S29" s="678">
        <f>S28+R29</f>
        <v>779533.0080879999</v>
      </c>
      <c r="T29" s="701">
        <f>T28</f>
        <v>520000</v>
      </c>
      <c r="U29" s="739">
        <f>S29+T29-Q29</f>
        <v>55138.89335194533</v>
      </c>
      <c r="W29" s="705">
        <v>26</v>
      </c>
      <c r="X29" s="706">
        <f t="shared" si="1"/>
        <v>55138.89335194533</v>
      </c>
    </row>
    <row r="30" spans="2:24" ht="15" customHeight="1">
      <c r="B30" s="558" t="s">
        <v>300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2">
        <f>I28</f>
        <v>3055.555555555557</v>
      </c>
      <c r="J30" s="252">
        <v>0</v>
      </c>
      <c r="K30" s="252">
        <f>K28</f>
        <v>2681.0320512820513</v>
      </c>
      <c r="L30" s="252">
        <f>L28</f>
        <v>16545.85714285714</v>
      </c>
      <c r="M30" s="252">
        <f>M28</f>
        <v>2550.25</v>
      </c>
      <c r="N30" s="252">
        <f aca="true" t="shared" si="14" ref="N30:N38">N29</f>
        <v>9622.222222222223</v>
      </c>
      <c r="O30" s="549">
        <f>O28</f>
        <v>13310.628522302164</v>
      </c>
      <c r="P30" s="684">
        <f t="shared" si="9"/>
        <v>47765.545494219135</v>
      </c>
      <c r="Q30" s="692">
        <f aca="true" t="shared" si="15" ref="Q30:Q38">Q29+P30</f>
        <v>1292159.6602302736</v>
      </c>
      <c r="R30" s="697">
        <f>R24</f>
        <v>50672.31373466667</v>
      </c>
      <c r="S30" s="678">
        <f aca="true" t="shared" si="16" ref="S30:S38">S29+R30</f>
        <v>830205.3218226666</v>
      </c>
      <c r="T30" s="701">
        <f>T28</f>
        <v>520000</v>
      </c>
      <c r="U30" s="739">
        <f aca="true" t="shared" si="17" ref="U30:U38">S30+T30-Q30</f>
        <v>58045.66159239295</v>
      </c>
      <c r="W30" s="705">
        <v>27</v>
      </c>
      <c r="X30" s="706">
        <f t="shared" si="1"/>
        <v>58045.66159239295</v>
      </c>
    </row>
    <row r="31" spans="2:24" ht="15" customHeight="1">
      <c r="B31" s="558" t="s">
        <v>301</v>
      </c>
      <c r="C31" s="253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2">
        <f>I28</f>
        <v>3055.555555555557</v>
      </c>
      <c r="J31" s="252">
        <v>0</v>
      </c>
      <c r="K31" s="252">
        <f>K28</f>
        <v>2681.0320512820513</v>
      </c>
      <c r="L31" s="252">
        <f>L28</f>
        <v>16545.85714285714</v>
      </c>
      <c r="M31" s="252">
        <f>M28</f>
        <v>2550.25</v>
      </c>
      <c r="N31" s="252">
        <f t="shared" si="14"/>
        <v>9622.222222222223</v>
      </c>
      <c r="O31" s="549">
        <f>O28</f>
        <v>13310.628522302164</v>
      </c>
      <c r="P31" s="684">
        <f t="shared" si="9"/>
        <v>47765.545494219135</v>
      </c>
      <c r="Q31" s="692">
        <f t="shared" si="15"/>
        <v>1339925.2057244927</v>
      </c>
      <c r="R31" s="697">
        <f>R24</f>
        <v>50672.31373466667</v>
      </c>
      <c r="S31" s="678">
        <f t="shared" si="16"/>
        <v>880877.6355573332</v>
      </c>
      <c r="T31" s="701">
        <f>T28</f>
        <v>520000</v>
      </c>
      <c r="U31" s="739">
        <f t="shared" si="17"/>
        <v>60952.42983284057</v>
      </c>
      <c r="W31" s="705">
        <v>28</v>
      </c>
      <c r="X31" s="706">
        <f t="shared" si="1"/>
        <v>60952.42983284057</v>
      </c>
    </row>
    <row r="32" spans="2:24" ht="15" customHeight="1">
      <c r="B32" s="558" t="s">
        <v>302</v>
      </c>
      <c r="C32" s="253">
        <v>0</v>
      </c>
      <c r="D32" s="253">
        <v>0</v>
      </c>
      <c r="E32" s="253">
        <v>0</v>
      </c>
      <c r="F32" s="253">
        <v>0</v>
      </c>
      <c r="G32" s="253">
        <v>0</v>
      </c>
      <c r="H32" s="253">
        <v>0</v>
      </c>
      <c r="I32" s="252">
        <f>I28</f>
        <v>3055.555555555557</v>
      </c>
      <c r="J32" s="252">
        <f>Betriebsaufwand!F5/4</f>
        <v>13908.461538461539</v>
      </c>
      <c r="K32" s="252">
        <f>K28</f>
        <v>2681.0320512820513</v>
      </c>
      <c r="L32" s="252">
        <f>L31</f>
        <v>16545.85714285714</v>
      </c>
      <c r="M32" s="252">
        <f>M28</f>
        <v>2550.25</v>
      </c>
      <c r="N32" s="252">
        <f t="shared" si="14"/>
        <v>9622.222222222223</v>
      </c>
      <c r="O32" s="549">
        <f>O28</f>
        <v>13310.628522302164</v>
      </c>
      <c r="P32" s="684">
        <f t="shared" si="9"/>
        <v>61674.00703268067</v>
      </c>
      <c r="Q32" s="692">
        <f t="shared" si="15"/>
        <v>1401599.2127571732</v>
      </c>
      <c r="R32" s="697">
        <f>R24</f>
        <v>50672.31373466667</v>
      </c>
      <c r="S32" s="678">
        <f t="shared" si="16"/>
        <v>931549.9492919999</v>
      </c>
      <c r="T32" s="701">
        <f>T28</f>
        <v>520000</v>
      </c>
      <c r="U32" s="739">
        <f t="shared" si="17"/>
        <v>49950.73653482669</v>
      </c>
      <c r="W32" s="705">
        <v>29</v>
      </c>
      <c r="X32" s="706">
        <f t="shared" si="1"/>
        <v>49950.73653482669</v>
      </c>
    </row>
    <row r="33" spans="2:24" ht="15" customHeight="1">
      <c r="B33" s="558" t="s">
        <v>303</v>
      </c>
      <c r="C33" s="253">
        <v>0</v>
      </c>
      <c r="D33" s="253">
        <v>0</v>
      </c>
      <c r="E33" s="253">
        <v>0</v>
      </c>
      <c r="F33" s="253">
        <v>0</v>
      </c>
      <c r="G33" s="253">
        <v>0</v>
      </c>
      <c r="H33" s="253">
        <v>0</v>
      </c>
      <c r="I33" s="252">
        <f>I28</f>
        <v>3055.555555555557</v>
      </c>
      <c r="J33" s="252">
        <f>J32</f>
        <v>13908.461538461539</v>
      </c>
      <c r="K33" s="252">
        <f>K28</f>
        <v>2681.0320512820513</v>
      </c>
      <c r="L33" s="252">
        <f>L31*2</f>
        <v>33091.71428571428</v>
      </c>
      <c r="M33" s="252">
        <f>M28</f>
        <v>2550.25</v>
      </c>
      <c r="N33" s="252">
        <f t="shared" si="14"/>
        <v>9622.222222222223</v>
      </c>
      <c r="O33" s="549">
        <f>O28</f>
        <v>13310.628522302164</v>
      </c>
      <c r="P33" s="684">
        <f t="shared" si="9"/>
        <v>78219.86417553782</v>
      </c>
      <c r="Q33" s="692">
        <f t="shared" si="15"/>
        <v>1479819.076932711</v>
      </c>
      <c r="R33" s="697">
        <f>R24</f>
        <v>50672.31373466667</v>
      </c>
      <c r="S33" s="678">
        <f t="shared" si="16"/>
        <v>982222.2630266666</v>
      </c>
      <c r="T33" s="701">
        <f>T28</f>
        <v>520000</v>
      </c>
      <c r="U33" s="739">
        <f t="shared" si="17"/>
        <v>22403.186093955534</v>
      </c>
      <c r="W33" s="705">
        <v>30</v>
      </c>
      <c r="X33" s="706">
        <f t="shared" si="1"/>
        <v>22403.186093955534</v>
      </c>
    </row>
    <row r="34" spans="2:24" ht="15" customHeight="1">
      <c r="B34" s="558" t="s">
        <v>304</v>
      </c>
      <c r="C34" s="253">
        <v>0</v>
      </c>
      <c r="D34" s="253">
        <v>0</v>
      </c>
      <c r="E34" s="253">
        <v>0</v>
      </c>
      <c r="F34" s="253">
        <v>0</v>
      </c>
      <c r="G34" s="253">
        <v>0</v>
      </c>
      <c r="H34" s="253">
        <v>0</v>
      </c>
      <c r="I34" s="252">
        <f>I33</f>
        <v>3055.555555555557</v>
      </c>
      <c r="J34" s="252">
        <f>J32</f>
        <v>13908.461538461539</v>
      </c>
      <c r="K34" s="252">
        <f>K28</f>
        <v>2681.0320512820513</v>
      </c>
      <c r="L34" s="252">
        <f>L31</f>
        <v>16545.85714285714</v>
      </c>
      <c r="M34" s="252">
        <f>M28</f>
        <v>2550.25</v>
      </c>
      <c r="N34" s="252">
        <f t="shared" si="14"/>
        <v>9622.222222222223</v>
      </c>
      <c r="O34" s="549">
        <f>O28</f>
        <v>13310.628522302164</v>
      </c>
      <c r="P34" s="684">
        <f t="shared" si="9"/>
        <v>61674.00703268067</v>
      </c>
      <c r="Q34" s="692">
        <f t="shared" si="15"/>
        <v>1541493.0839653916</v>
      </c>
      <c r="R34" s="697">
        <f>R24</f>
        <v>50672.31373466667</v>
      </c>
      <c r="S34" s="678">
        <f t="shared" si="16"/>
        <v>1032894.5767613333</v>
      </c>
      <c r="T34" s="701">
        <f>T28</f>
        <v>520000</v>
      </c>
      <c r="U34" s="739">
        <f t="shared" si="17"/>
        <v>11401.492795941653</v>
      </c>
      <c r="W34" s="705">
        <v>31</v>
      </c>
      <c r="X34" s="706">
        <f t="shared" si="1"/>
        <v>11401.492795941653</v>
      </c>
    </row>
    <row r="35" spans="2:24" ht="15" customHeight="1">
      <c r="B35" s="558" t="s">
        <v>305</v>
      </c>
      <c r="C35" s="253">
        <v>0</v>
      </c>
      <c r="D35" s="253">
        <v>0</v>
      </c>
      <c r="E35" s="253">
        <v>0</v>
      </c>
      <c r="F35" s="253">
        <v>0</v>
      </c>
      <c r="G35" s="253">
        <v>0</v>
      </c>
      <c r="H35" s="253">
        <v>0</v>
      </c>
      <c r="I35" s="252">
        <f>I33</f>
        <v>3055.555555555557</v>
      </c>
      <c r="J35" s="252">
        <f>J32</f>
        <v>13908.461538461539</v>
      </c>
      <c r="K35" s="252">
        <f>K28</f>
        <v>2681.0320512820513</v>
      </c>
      <c r="L35" s="252">
        <f>L34</f>
        <v>16545.85714285714</v>
      </c>
      <c r="M35" s="252">
        <f>M28</f>
        <v>2550.25</v>
      </c>
      <c r="N35" s="252">
        <f t="shared" si="14"/>
        <v>9622.222222222223</v>
      </c>
      <c r="O35" s="549">
        <f>O28</f>
        <v>13310.628522302164</v>
      </c>
      <c r="P35" s="684">
        <f t="shared" si="9"/>
        <v>61674.00703268067</v>
      </c>
      <c r="Q35" s="692">
        <f t="shared" si="15"/>
        <v>1603167.0909980722</v>
      </c>
      <c r="R35" s="697">
        <f>R24</f>
        <v>50672.31373466667</v>
      </c>
      <c r="S35" s="678">
        <f t="shared" si="16"/>
        <v>1083566.890496</v>
      </c>
      <c r="T35" s="701">
        <f>T28</f>
        <v>520000</v>
      </c>
      <c r="U35" s="739">
        <f t="shared" si="17"/>
        <v>399.7994979277719</v>
      </c>
      <c r="W35" s="705">
        <v>32</v>
      </c>
      <c r="X35" s="706">
        <f t="shared" si="1"/>
        <v>399.7994979277719</v>
      </c>
    </row>
    <row r="36" spans="2:24" ht="15" customHeight="1">
      <c r="B36" s="558" t="s">
        <v>306</v>
      </c>
      <c r="C36" s="253">
        <v>0</v>
      </c>
      <c r="D36" s="253">
        <v>0</v>
      </c>
      <c r="E36" s="253">
        <v>0</v>
      </c>
      <c r="F36" s="253">
        <v>0</v>
      </c>
      <c r="G36" s="253">
        <v>0</v>
      </c>
      <c r="H36" s="253">
        <v>0</v>
      </c>
      <c r="I36" s="252">
        <f>I33</f>
        <v>3055.555555555557</v>
      </c>
      <c r="J36" s="252">
        <v>0</v>
      </c>
      <c r="K36" s="252">
        <f>K28</f>
        <v>2681.0320512820513</v>
      </c>
      <c r="L36" s="252">
        <f>L34</f>
        <v>16545.85714285714</v>
      </c>
      <c r="M36" s="252">
        <f>M28</f>
        <v>2550.25</v>
      </c>
      <c r="N36" s="252">
        <f t="shared" si="14"/>
        <v>9622.222222222223</v>
      </c>
      <c r="O36" s="549">
        <f>O28</f>
        <v>13310.628522302164</v>
      </c>
      <c r="P36" s="684">
        <f t="shared" si="9"/>
        <v>47765.545494219135</v>
      </c>
      <c r="Q36" s="692">
        <f t="shared" si="15"/>
        <v>1650932.6364922912</v>
      </c>
      <c r="R36" s="697">
        <f>('Produktion und Absatz'!CD25+'Produktion und Absatz'!CD26+'Produktion und Absatz'!CD27+'Produktion und Absatz'!CD28+'Produktion und Absatz'!CD29+'Produktion und Absatz'!CD30+'Produktion und Absatz'!CD31+'Produktion und Absatz'!CD32)/12</f>
        <v>69104.34872853332</v>
      </c>
      <c r="S36" s="678">
        <f t="shared" si="16"/>
        <v>1152671.2392245333</v>
      </c>
      <c r="T36" s="701">
        <f>T28</f>
        <v>520000</v>
      </c>
      <c r="U36" s="739">
        <f t="shared" si="17"/>
        <v>21738.602732242085</v>
      </c>
      <c r="W36" s="705">
        <v>33</v>
      </c>
      <c r="X36" s="706">
        <f t="shared" si="1"/>
        <v>21738.602732242085</v>
      </c>
    </row>
    <row r="37" spans="2:24" ht="15" customHeight="1">
      <c r="B37" s="558" t="s">
        <v>307</v>
      </c>
      <c r="C37" s="253">
        <v>0</v>
      </c>
      <c r="D37" s="253">
        <v>0</v>
      </c>
      <c r="E37" s="253">
        <v>0</v>
      </c>
      <c r="F37" s="253">
        <v>0</v>
      </c>
      <c r="G37" s="253">
        <v>0</v>
      </c>
      <c r="H37" s="253">
        <v>0</v>
      </c>
      <c r="I37" s="252">
        <f>I33</f>
        <v>3055.555555555557</v>
      </c>
      <c r="J37" s="252">
        <v>0</v>
      </c>
      <c r="K37" s="252">
        <f>K28</f>
        <v>2681.0320512820513</v>
      </c>
      <c r="L37" s="252">
        <f>L34</f>
        <v>16545.85714285714</v>
      </c>
      <c r="M37" s="252">
        <f>M28</f>
        <v>2550.25</v>
      </c>
      <c r="N37" s="252">
        <f t="shared" si="14"/>
        <v>9622.222222222223</v>
      </c>
      <c r="O37" s="549">
        <f>O28</f>
        <v>13310.628522302164</v>
      </c>
      <c r="P37" s="684">
        <f t="shared" si="9"/>
        <v>47765.545494219135</v>
      </c>
      <c r="Q37" s="692">
        <f t="shared" si="15"/>
        <v>1698698.1819865103</v>
      </c>
      <c r="R37" s="697">
        <f>R36</f>
        <v>69104.34872853332</v>
      </c>
      <c r="S37" s="678">
        <f t="shared" si="16"/>
        <v>1221775.5879530667</v>
      </c>
      <c r="T37" s="701">
        <f>T28</f>
        <v>520000</v>
      </c>
      <c r="U37" s="739">
        <f t="shared" si="17"/>
        <v>43077.4059665564</v>
      </c>
      <c r="W37" s="705">
        <v>34</v>
      </c>
      <c r="X37" s="706">
        <f t="shared" si="1"/>
        <v>43077.4059665564</v>
      </c>
    </row>
    <row r="38" spans="2:24" ht="15" customHeight="1">
      <c r="B38" s="558" t="s">
        <v>308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0</v>
      </c>
      <c r="I38" s="252">
        <f>I33</f>
        <v>3055.555555555557</v>
      </c>
      <c r="J38" s="252">
        <v>0</v>
      </c>
      <c r="K38" s="252">
        <f>K28</f>
        <v>2681.0320512820513</v>
      </c>
      <c r="L38" s="252">
        <f>L29*2</f>
        <v>33091.71428571428</v>
      </c>
      <c r="M38" s="252">
        <f>M28</f>
        <v>2550.25</v>
      </c>
      <c r="N38" s="252">
        <f t="shared" si="14"/>
        <v>9622.222222222223</v>
      </c>
      <c r="O38" s="549">
        <f>O28</f>
        <v>13310.628522302164</v>
      </c>
      <c r="P38" s="684">
        <f t="shared" si="9"/>
        <v>64311.40263707628</v>
      </c>
      <c r="Q38" s="692">
        <f t="shared" si="15"/>
        <v>1763009.5846235866</v>
      </c>
      <c r="R38" s="697">
        <f>R36</f>
        <v>69104.34872853332</v>
      </c>
      <c r="S38" s="678">
        <f t="shared" si="16"/>
        <v>1290879.9366816</v>
      </c>
      <c r="T38" s="701">
        <f>T28</f>
        <v>520000</v>
      </c>
      <c r="U38" s="739">
        <f t="shared" si="17"/>
        <v>47870.352058013435</v>
      </c>
      <c r="W38" s="705">
        <v>35</v>
      </c>
      <c r="X38" s="706">
        <f t="shared" si="1"/>
        <v>47870.352058013435</v>
      </c>
    </row>
    <row r="39" spans="2:24" ht="15" customHeight="1" thickBot="1">
      <c r="B39" s="559" t="s">
        <v>309</v>
      </c>
      <c r="C39" s="551">
        <v>0</v>
      </c>
      <c r="D39" s="551">
        <v>0</v>
      </c>
      <c r="E39" s="551">
        <v>0</v>
      </c>
      <c r="F39" s="551">
        <v>0</v>
      </c>
      <c r="G39" s="551">
        <v>0</v>
      </c>
      <c r="H39" s="551">
        <v>0</v>
      </c>
      <c r="I39" s="552">
        <f>I38</f>
        <v>3055.555555555557</v>
      </c>
      <c r="J39" s="552">
        <v>0</v>
      </c>
      <c r="K39" s="552">
        <f>K28</f>
        <v>2681.0320512820513</v>
      </c>
      <c r="L39" s="552">
        <f>L29</f>
        <v>16545.85714285714</v>
      </c>
      <c r="M39" s="552">
        <f>M28</f>
        <v>2550.25</v>
      </c>
      <c r="N39" s="552">
        <f>N28</f>
        <v>9622.222222222223</v>
      </c>
      <c r="O39" s="553">
        <f>O28</f>
        <v>13310.628522302164</v>
      </c>
      <c r="P39" s="746">
        <f>SUM(C39:O39)</f>
        <v>47765.545494219135</v>
      </c>
      <c r="Q39" s="693">
        <f>Q38+P39</f>
        <v>1810775.1301178057</v>
      </c>
      <c r="R39" s="698">
        <f>R36</f>
        <v>69104.34872853332</v>
      </c>
      <c r="S39" s="689">
        <f>S38+R39</f>
        <v>1359984.2854101334</v>
      </c>
      <c r="T39" s="702">
        <f>T28</f>
        <v>520000</v>
      </c>
      <c r="U39" s="742">
        <f>S39+T39-Q39</f>
        <v>69209.15529232775</v>
      </c>
      <c r="W39" s="705">
        <v>36</v>
      </c>
      <c r="X39" s="706">
        <f t="shared" si="1"/>
        <v>69209.15529232775</v>
      </c>
    </row>
    <row r="40" spans="2:24" ht="15" customHeight="1">
      <c r="B40" s="557" t="s">
        <v>310</v>
      </c>
      <c r="C40" s="546">
        <v>0</v>
      </c>
      <c r="D40" s="546">
        <v>0</v>
      </c>
      <c r="E40" s="546">
        <v>0</v>
      </c>
      <c r="F40" s="546">
        <v>0</v>
      </c>
      <c r="G40" s="546">
        <v>0</v>
      </c>
      <c r="H40" s="546">
        <v>0</v>
      </c>
      <c r="I40" s="547">
        <f>('Plan Bilanz'!B53-'Plan Bilanz'!D53)/12</f>
        <v>0</v>
      </c>
      <c r="J40" s="547">
        <v>0</v>
      </c>
      <c r="K40" s="547">
        <f>Betriebsaufwand!G11/12</f>
        <v>2938.9996474358973</v>
      </c>
      <c r="L40" s="547">
        <f>Personalaufwand!G8/14</f>
        <v>20101.917142857146</v>
      </c>
      <c r="M40" s="547">
        <f>'Leasing u. Miete'!G29/12</f>
        <v>2575.7525</v>
      </c>
      <c r="N40" s="547">
        <f>'Leasing u. Miete'!G22/12</f>
        <v>10762.962962962964</v>
      </c>
      <c r="O40" s="548">
        <f>(Betriebsaufwand!G6+Betriebsaufwand!G7+Betriebsaufwand!G8+Betriebsaufwand!G9+Betriebsaufwand!G10+Betriebsaufwand!G14+Betriebsaufwand!G15)/12</f>
        <v>14812.445743294113</v>
      </c>
      <c r="P40" s="747">
        <f>SUM(C40:O40)</f>
        <v>51192.07799655011</v>
      </c>
      <c r="Q40" s="750">
        <f>Q39+P40</f>
        <v>1861967.2081143558</v>
      </c>
      <c r="R40" s="696">
        <f>R36</f>
        <v>69104.34872853332</v>
      </c>
      <c r="S40" s="687">
        <f>S39+R40</f>
        <v>1429088.6341386668</v>
      </c>
      <c r="T40" s="703">
        <f>T28</f>
        <v>520000</v>
      </c>
      <c r="U40" s="753">
        <f>T40+S40-Q40</f>
        <v>87121.42602431099</v>
      </c>
      <c r="W40" s="705">
        <v>37</v>
      </c>
      <c r="X40" s="706">
        <f t="shared" si="1"/>
        <v>87121.42602431099</v>
      </c>
    </row>
    <row r="41" spans="2:24" ht="15" customHeight="1">
      <c r="B41" s="558" t="s">
        <v>311</v>
      </c>
      <c r="C41" s="253">
        <v>0</v>
      </c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2">
        <f aca="true" t="shared" si="18" ref="I41:I51">I40</f>
        <v>0</v>
      </c>
      <c r="J41" s="252">
        <v>0</v>
      </c>
      <c r="K41" s="252">
        <f>K40</f>
        <v>2938.9996474358973</v>
      </c>
      <c r="L41" s="252">
        <f>L40</f>
        <v>20101.917142857146</v>
      </c>
      <c r="M41" s="252">
        <f>M40</f>
        <v>2575.7525</v>
      </c>
      <c r="N41" s="252">
        <f>N40</f>
        <v>10762.962962962964</v>
      </c>
      <c r="O41" s="549">
        <f>O40</f>
        <v>14812.445743294113</v>
      </c>
      <c r="P41" s="748">
        <f aca="true" t="shared" si="19" ref="P41:P63">SUM(C41:O41)</f>
        <v>51192.07799655011</v>
      </c>
      <c r="Q41" s="751">
        <f>Q40+P41</f>
        <v>1913159.286110906</v>
      </c>
      <c r="R41" s="697">
        <f>R40</f>
        <v>69104.34872853332</v>
      </c>
      <c r="S41" s="678">
        <f>S40+R41</f>
        <v>1498192.9828672002</v>
      </c>
      <c r="T41" s="701">
        <f>T40</f>
        <v>520000</v>
      </c>
      <c r="U41" s="754">
        <f>T41+S41-Q41</f>
        <v>105033.69675629423</v>
      </c>
      <c r="W41" s="705">
        <v>38</v>
      </c>
      <c r="X41" s="706">
        <f t="shared" si="1"/>
        <v>105033.69675629423</v>
      </c>
    </row>
    <row r="42" spans="2:24" ht="15" customHeight="1">
      <c r="B42" s="558" t="s">
        <v>312</v>
      </c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2">
        <f t="shared" si="18"/>
        <v>0</v>
      </c>
      <c r="J42" s="252">
        <v>0</v>
      </c>
      <c r="K42" s="252">
        <f>K40</f>
        <v>2938.9996474358973</v>
      </c>
      <c r="L42" s="252">
        <f>L41</f>
        <v>20101.917142857146</v>
      </c>
      <c r="M42" s="252">
        <f aca="true" t="shared" si="20" ref="M42:M51">M41</f>
        <v>2575.7525</v>
      </c>
      <c r="N42" s="252">
        <f aca="true" t="shared" si="21" ref="N42:N51">N41</f>
        <v>10762.962962962964</v>
      </c>
      <c r="O42" s="549">
        <f aca="true" t="shared" si="22" ref="O42:O51">O41</f>
        <v>14812.445743294113</v>
      </c>
      <c r="P42" s="748">
        <f t="shared" si="19"/>
        <v>51192.07799655011</v>
      </c>
      <c r="Q42" s="751">
        <f aca="true" t="shared" si="23" ref="Q42:Q50">Q41+P42</f>
        <v>1964351.364107456</v>
      </c>
      <c r="R42" s="697">
        <f aca="true" t="shared" si="24" ref="R42:R47">R41</f>
        <v>69104.34872853332</v>
      </c>
      <c r="S42" s="678">
        <f aca="true" t="shared" si="25" ref="S42:S50">S41+R42</f>
        <v>1567297.3315957335</v>
      </c>
      <c r="T42" s="701">
        <f>T40</f>
        <v>520000</v>
      </c>
      <c r="U42" s="754">
        <f aca="true" t="shared" si="26" ref="U42:U50">T42+S42-Q42</f>
        <v>122945.96748827747</v>
      </c>
      <c r="W42" s="705">
        <v>39</v>
      </c>
      <c r="X42" s="706">
        <f t="shared" si="1"/>
        <v>122945.96748827747</v>
      </c>
    </row>
    <row r="43" spans="2:24" ht="15" customHeight="1">
      <c r="B43" s="558" t="s">
        <v>313</v>
      </c>
      <c r="C43" s="253">
        <v>0</v>
      </c>
      <c r="D43" s="253">
        <v>0</v>
      </c>
      <c r="E43" s="253">
        <v>0</v>
      </c>
      <c r="F43" s="253">
        <v>0</v>
      </c>
      <c r="G43" s="253">
        <v>0</v>
      </c>
      <c r="H43" s="253">
        <v>0</v>
      </c>
      <c r="I43" s="252">
        <f t="shared" si="18"/>
        <v>0</v>
      </c>
      <c r="J43" s="252">
        <v>0</v>
      </c>
      <c r="K43" s="252">
        <f aca="true" t="shared" si="27" ref="K43:K50">K41</f>
        <v>2938.9996474358973</v>
      </c>
      <c r="L43" s="252">
        <f>L42</f>
        <v>20101.917142857146</v>
      </c>
      <c r="M43" s="252">
        <f t="shared" si="20"/>
        <v>2575.7525</v>
      </c>
      <c r="N43" s="252">
        <f t="shared" si="21"/>
        <v>10762.962962962964</v>
      </c>
      <c r="O43" s="549">
        <f t="shared" si="22"/>
        <v>14812.445743294113</v>
      </c>
      <c r="P43" s="748">
        <f t="shared" si="19"/>
        <v>51192.07799655011</v>
      </c>
      <c r="Q43" s="751">
        <f t="shared" si="23"/>
        <v>2015543.4421040062</v>
      </c>
      <c r="R43" s="697">
        <f t="shared" si="24"/>
        <v>69104.34872853332</v>
      </c>
      <c r="S43" s="678">
        <f t="shared" si="25"/>
        <v>1636401.680324267</v>
      </c>
      <c r="T43" s="701">
        <f>T40</f>
        <v>520000</v>
      </c>
      <c r="U43" s="754">
        <f t="shared" si="26"/>
        <v>140858.23822026048</v>
      </c>
      <c r="W43" s="705">
        <v>40</v>
      </c>
      <c r="X43" s="706">
        <f t="shared" si="1"/>
        <v>140858.23822026048</v>
      </c>
    </row>
    <row r="44" spans="2:24" ht="15" customHeight="1">
      <c r="B44" s="558" t="s">
        <v>314</v>
      </c>
      <c r="C44" s="253">
        <v>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2">
        <f t="shared" si="18"/>
        <v>0</v>
      </c>
      <c r="J44" s="252">
        <f>Betriebsaufwand!G5/4</f>
        <v>15850.557692307693</v>
      </c>
      <c r="K44" s="252">
        <f t="shared" si="27"/>
        <v>2938.9996474358973</v>
      </c>
      <c r="L44" s="252">
        <f>L43</f>
        <v>20101.917142857146</v>
      </c>
      <c r="M44" s="252">
        <f t="shared" si="20"/>
        <v>2575.7525</v>
      </c>
      <c r="N44" s="252">
        <f t="shared" si="21"/>
        <v>10762.962962962964</v>
      </c>
      <c r="O44" s="549">
        <f t="shared" si="22"/>
        <v>14812.445743294113</v>
      </c>
      <c r="P44" s="748">
        <f t="shared" si="19"/>
        <v>67042.63568885782</v>
      </c>
      <c r="Q44" s="751">
        <f t="shared" si="23"/>
        <v>2082586.077792864</v>
      </c>
      <c r="R44" s="697">
        <f t="shared" si="24"/>
        <v>69104.34872853332</v>
      </c>
      <c r="S44" s="678">
        <f t="shared" si="25"/>
        <v>1705506.0290528003</v>
      </c>
      <c r="T44" s="701">
        <f>T40</f>
        <v>520000</v>
      </c>
      <c r="U44" s="754">
        <f t="shared" si="26"/>
        <v>142919.95125993644</v>
      </c>
      <c r="W44" s="705">
        <v>41</v>
      </c>
      <c r="X44" s="706">
        <f t="shared" si="1"/>
        <v>142919.95125993644</v>
      </c>
    </row>
    <row r="45" spans="2:24" ht="15" customHeight="1">
      <c r="B45" s="558" t="s">
        <v>315</v>
      </c>
      <c r="C45" s="253">
        <v>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2">
        <f t="shared" si="18"/>
        <v>0</v>
      </c>
      <c r="J45" s="252">
        <f>J44</f>
        <v>15850.557692307693</v>
      </c>
      <c r="K45" s="252">
        <f t="shared" si="27"/>
        <v>2938.9996474358973</v>
      </c>
      <c r="L45" s="252">
        <f>L40*2</f>
        <v>40203.83428571429</v>
      </c>
      <c r="M45" s="252">
        <f t="shared" si="20"/>
        <v>2575.7525</v>
      </c>
      <c r="N45" s="252">
        <f t="shared" si="21"/>
        <v>10762.962962962964</v>
      </c>
      <c r="O45" s="549">
        <f t="shared" si="22"/>
        <v>14812.445743294113</v>
      </c>
      <c r="P45" s="748">
        <f t="shared" si="19"/>
        <v>87144.55283171496</v>
      </c>
      <c r="Q45" s="751">
        <f t="shared" si="23"/>
        <v>2169730.630624579</v>
      </c>
      <c r="R45" s="697">
        <f t="shared" si="24"/>
        <v>69104.34872853332</v>
      </c>
      <c r="S45" s="678">
        <f t="shared" si="25"/>
        <v>1774610.3777813336</v>
      </c>
      <c r="T45" s="701">
        <f>T40</f>
        <v>520000</v>
      </c>
      <c r="U45" s="754">
        <f t="shared" si="26"/>
        <v>124879.7471567546</v>
      </c>
      <c r="W45" s="705">
        <v>42</v>
      </c>
      <c r="X45" s="706">
        <f t="shared" si="1"/>
        <v>124879.7471567546</v>
      </c>
    </row>
    <row r="46" spans="2:24" ht="15" customHeight="1">
      <c r="B46" s="558" t="s">
        <v>316</v>
      </c>
      <c r="C46" s="253">
        <v>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2">
        <f t="shared" si="18"/>
        <v>0</v>
      </c>
      <c r="J46" s="252">
        <f>J44</f>
        <v>15850.557692307693</v>
      </c>
      <c r="K46" s="252">
        <f t="shared" si="27"/>
        <v>2938.9996474358973</v>
      </c>
      <c r="L46" s="252">
        <f>L40</f>
        <v>20101.917142857146</v>
      </c>
      <c r="M46" s="252">
        <f t="shared" si="20"/>
        <v>2575.7525</v>
      </c>
      <c r="N46" s="252">
        <f t="shared" si="21"/>
        <v>10762.962962962964</v>
      </c>
      <c r="O46" s="549">
        <f t="shared" si="22"/>
        <v>14812.445743294113</v>
      </c>
      <c r="P46" s="748">
        <f t="shared" si="19"/>
        <v>67042.63568885782</v>
      </c>
      <c r="Q46" s="751">
        <f t="shared" si="23"/>
        <v>2236773.2663134364</v>
      </c>
      <c r="R46" s="697">
        <f t="shared" si="24"/>
        <v>69104.34872853332</v>
      </c>
      <c r="S46" s="678">
        <f t="shared" si="25"/>
        <v>1843714.726509867</v>
      </c>
      <c r="T46" s="701">
        <f>T40</f>
        <v>520000</v>
      </c>
      <c r="U46" s="754">
        <f t="shared" si="26"/>
        <v>126941.4601964308</v>
      </c>
      <c r="W46" s="705">
        <v>43</v>
      </c>
      <c r="X46" s="706">
        <f t="shared" si="1"/>
        <v>126941.4601964308</v>
      </c>
    </row>
    <row r="47" spans="2:24" ht="15" customHeight="1">
      <c r="B47" s="558" t="s">
        <v>317</v>
      </c>
      <c r="C47" s="253">
        <v>0</v>
      </c>
      <c r="D47" s="253">
        <v>0</v>
      </c>
      <c r="E47" s="253">
        <v>0</v>
      </c>
      <c r="F47" s="253">
        <v>0</v>
      </c>
      <c r="G47" s="253">
        <v>0</v>
      </c>
      <c r="H47" s="253">
        <v>0</v>
      </c>
      <c r="I47" s="252">
        <f t="shared" si="18"/>
        <v>0</v>
      </c>
      <c r="J47" s="252">
        <f>J44</f>
        <v>15850.557692307693</v>
      </c>
      <c r="K47" s="252">
        <f t="shared" si="27"/>
        <v>2938.9996474358973</v>
      </c>
      <c r="L47" s="252">
        <f>L41</f>
        <v>20101.917142857146</v>
      </c>
      <c r="M47" s="252">
        <f t="shared" si="20"/>
        <v>2575.7525</v>
      </c>
      <c r="N47" s="252">
        <f t="shared" si="21"/>
        <v>10762.962962962964</v>
      </c>
      <c r="O47" s="549">
        <f t="shared" si="22"/>
        <v>14812.445743294113</v>
      </c>
      <c r="P47" s="748">
        <f t="shared" si="19"/>
        <v>67042.63568885782</v>
      </c>
      <c r="Q47" s="751">
        <f t="shared" si="23"/>
        <v>2303815.902002294</v>
      </c>
      <c r="R47" s="697">
        <f t="shared" si="24"/>
        <v>69104.34872853332</v>
      </c>
      <c r="S47" s="678">
        <f t="shared" si="25"/>
        <v>1912819.0752384004</v>
      </c>
      <c r="T47" s="701">
        <f>T40</f>
        <v>520000</v>
      </c>
      <c r="U47" s="754">
        <f t="shared" si="26"/>
        <v>129003.17323610606</v>
      </c>
      <c r="W47" s="705">
        <v>44</v>
      </c>
      <c r="X47" s="706">
        <f t="shared" si="1"/>
        <v>129003.17323610606</v>
      </c>
    </row>
    <row r="48" spans="2:24" ht="15" customHeight="1">
      <c r="B48" s="558" t="s">
        <v>318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2">
        <f t="shared" si="18"/>
        <v>0</v>
      </c>
      <c r="J48" s="252">
        <v>0</v>
      </c>
      <c r="K48" s="252">
        <f t="shared" si="27"/>
        <v>2938.9996474358973</v>
      </c>
      <c r="L48" s="252">
        <f>L42</f>
        <v>20101.917142857146</v>
      </c>
      <c r="M48" s="252">
        <f t="shared" si="20"/>
        <v>2575.7525</v>
      </c>
      <c r="N48" s="252">
        <f t="shared" si="21"/>
        <v>10762.962962962964</v>
      </c>
      <c r="O48" s="549">
        <f t="shared" si="22"/>
        <v>14812.445743294113</v>
      </c>
      <c r="P48" s="748">
        <f t="shared" si="19"/>
        <v>51192.07799655011</v>
      </c>
      <c r="Q48" s="751">
        <f t="shared" si="23"/>
        <v>2355007.979998844</v>
      </c>
      <c r="R48" s="697">
        <f>('Produktion und Absatz'!CD33+'Produktion und Absatz'!CD34+'Produktion und Absatz'!CD35+'Produktion und Absatz'!CD36+'Produktion und Absatz'!CD37+'Produktion und Absatz'!CD38+'Produktion und Absatz'!CD39+'Produktion und Absatz'!CD40)/12</f>
        <v>115790.091732</v>
      </c>
      <c r="S48" s="678">
        <f t="shared" si="25"/>
        <v>2028609.1669704004</v>
      </c>
      <c r="T48" s="701">
        <f>T40</f>
        <v>520000</v>
      </c>
      <c r="U48" s="754">
        <f t="shared" si="26"/>
        <v>193601.18697155593</v>
      </c>
      <c r="W48" s="705">
        <v>45</v>
      </c>
      <c r="X48" s="706">
        <f t="shared" si="1"/>
        <v>193601.18697155593</v>
      </c>
    </row>
    <row r="49" spans="2:24" ht="15" customHeight="1">
      <c r="B49" s="558" t="s">
        <v>319</v>
      </c>
      <c r="C49" s="253">
        <v>0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2">
        <f t="shared" si="18"/>
        <v>0</v>
      </c>
      <c r="J49" s="252">
        <v>0</v>
      </c>
      <c r="K49" s="252">
        <f t="shared" si="27"/>
        <v>2938.9996474358973</v>
      </c>
      <c r="L49" s="252">
        <f>L43</f>
        <v>20101.917142857146</v>
      </c>
      <c r="M49" s="252">
        <f t="shared" si="20"/>
        <v>2575.7525</v>
      </c>
      <c r="N49" s="252">
        <f t="shared" si="21"/>
        <v>10762.962962962964</v>
      </c>
      <c r="O49" s="549">
        <f t="shared" si="22"/>
        <v>14812.445743294113</v>
      </c>
      <c r="P49" s="748">
        <f t="shared" si="19"/>
        <v>51192.07799655011</v>
      </c>
      <c r="Q49" s="751">
        <f t="shared" si="23"/>
        <v>2406200.0579953943</v>
      </c>
      <c r="R49" s="697">
        <f>R48</f>
        <v>115790.091732</v>
      </c>
      <c r="S49" s="678">
        <f t="shared" si="25"/>
        <v>2144399.2587024</v>
      </c>
      <c r="T49" s="701">
        <f>T40</f>
        <v>520000</v>
      </c>
      <c r="U49" s="754">
        <f t="shared" si="26"/>
        <v>258199.2007070058</v>
      </c>
      <c r="W49" s="705">
        <v>46</v>
      </c>
      <c r="X49" s="706">
        <f t="shared" si="1"/>
        <v>258199.2007070058</v>
      </c>
    </row>
    <row r="50" spans="2:24" ht="15" customHeight="1">
      <c r="B50" s="558" t="s">
        <v>320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550">
        <v>0</v>
      </c>
      <c r="I50" s="252">
        <f t="shared" si="18"/>
        <v>0</v>
      </c>
      <c r="J50" s="252">
        <v>0</v>
      </c>
      <c r="K50" s="252">
        <f t="shared" si="27"/>
        <v>2938.9996474358973</v>
      </c>
      <c r="L50" s="252">
        <f>L45</f>
        <v>40203.83428571429</v>
      </c>
      <c r="M50" s="252">
        <f t="shared" si="20"/>
        <v>2575.7525</v>
      </c>
      <c r="N50" s="252">
        <f t="shared" si="21"/>
        <v>10762.962962962964</v>
      </c>
      <c r="O50" s="549">
        <f t="shared" si="22"/>
        <v>14812.445743294113</v>
      </c>
      <c r="P50" s="748">
        <f t="shared" si="19"/>
        <v>71293.99513940727</v>
      </c>
      <c r="Q50" s="751">
        <f t="shared" si="23"/>
        <v>2477494.053134802</v>
      </c>
      <c r="R50" s="697">
        <f>R49</f>
        <v>115790.091732</v>
      </c>
      <c r="S50" s="678">
        <f t="shared" si="25"/>
        <v>2260189.3504344</v>
      </c>
      <c r="T50" s="701">
        <f>T40</f>
        <v>520000</v>
      </c>
      <c r="U50" s="754">
        <f t="shared" si="26"/>
        <v>302695.29729959834</v>
      </c>
      <c r="W50" s="705">
        <v>47</v>
      </c>
      <c r="X50" s="706">
        <f t="shared" si="1"/>
        <v>302695.29729959834</v>
      </c>
    </row>
    <row r="51" spans="2:24" ht="15" customHeight="1" thickBot="1">
      <c r="B51" s="559" t="s">
        <v>321</v>
      </c>
      <c r="C51" s="551">
        <v>0</v>
      </c>
      <c r="D51" s="551">
        <v>0</v>
      </c>
      <c r="E51" s="551">
        <v>0</v>
      </c>
      <c r="F51" s="551">
        <v>0</v>
      </c>
      <c r="G51" s="551">
        <v>0</v>
      </c>
      <c r="H51" s="551">
        <v>0</v>
      </c>
      <c r="I51" s="552">
        <f t="shared" si="18"/>
        <v>0</v>
      </c>
      <c r="J51" s="552">
        <v>0</v>
      </c>
      <c r="K51" s="552">
        <f>K40</f>
        <v>2938.9996474358973</v>
      </c>
      <c r="L51" s="552">
        <f>L40</f>
        <v>20101.917142857146</v>
      </c>
      <c r="M51" s="252">
        <f t="shared" si="20"/>
        <v>2575.7525</v>
      </c>
      <c r="N51" s="252">
        <f t="shared" si="21"/>
        <v>10762.962962962964</v>
      </c>
      <c r="O51" s="549">
        <f t="shared" si="22"/>
        <v>14812.445743294113</v>
      </c>
      <c r="P51" s="749">
        <f t="shared" si="19"/>
        <v>51192.07799655011</v>
      </c>
      <c r="Q51" s="752">
        <f>Q50+P51</f>
        <v>2528686.131131352</v>
      </c>
      <c r="R51" s="698">
        <f>R48</f>
        <v>115790.091732</v>
      </c>
      <c r="S51" s="689">
        <f>S50+R51</f>
        <v>2375979.4421664</v>
      </c>
      <c r="T51" s="702">
        <f>T40</f>
        <v>520000</v>
      </c>
      <c r="U51" s="755">
        <f>T51+S51-Q51</f>
        <v>367293.3110350482</v>
      </c>
      <c r="W51" s="705">
        <v>48</v>
      </c>
      <c r="X51" s="706">
        <f t="shared" si="1"/>
        <v>367293.3110350482</v>
      </c>
    </row>
    <row r="52" spans="2:24" ht="15" customHeight="1">
      <c r="B52" s="557" t="s">
        <v>322</v>
      </c>
      <c r="C52" s="546">
        <v>0</v>
      </c>
      <c r="D52" s="546">
        <v>0</v>
      </c>
      <c r="E52" s="546">
        <v>0</v>
      </c>
      <c r="F52" s="546">
        <v>0</v>
      </c>
      <c r="G52" s="546">
        <v>0</v>
      </c>
      <c r="H52" s="546">
        <v>0</v>
      </c>
      <c r="I52" s="547">
        <f>('Plan Bilanz'!D53-'Plan Bilanz'!F53)/12</f>
        <v>0</v>
      </c>
      <c r="J52" s="547">
        <v>0</v>
      </c>
      <c r="K52" s="547">
        <f>Betriebsaufwand!H11/12</f>
        <v>3602.0908038461544</v>
      </c>
      <c r="L52" s="547">
        <f>Personalaufwand!H8/14</f>
        <v>20503.955485714287</v>
      </c>
      <c r="M52" s="547">
        <f>'Leasing u. Miete'!H29/12</f>
        <v>2601.510025</v>
      </c>
      <c r="N52" s="547">
        <f>'Leasing u. Miete'!H22/12</f>
        <v>11333.333333333336</v>
      </c>
      <c r="O52" s="548">
        <f>(Betriebsaufwand!H6+Betriebsaufwand!H7+Betriebsaufwand!H8+Betriebsaufwand!H9+Betriebsaufwand!H10+Betriebsaufwand!H14+Betriebsaufwand!H15)/12</f>
        <v>14995.778118854689</v>
      </c>
      <c r="P52" s="747">
        <f t="shared" si="19"/>
        <v>53036.66776674846</v>
      </c>
      <c r="Q52" s="750">
        <f>Q51+P52</f>
        <v>2581722.7988981004</v>
      </c>
      <c r="R52" s="696">
        <f>R48</f>
        <v>115790.091732</v>
      </c>
      <c r="S52" s="687">
        <f>S51+R52</f>
        <v>2491769.5338984</v>
      </c>
      <c r="T52" s="703">
        <f>T40</f>
        <v>520000</v>
      </c>
      <c r="U52" s="753">
        <f>T52+S52-Q52</f>
        <v>430046.73500029976</v>
      </c>
      <c r="W52" s="705">
        <v>49</v>
      </c>
      <c r="X52" s="706">
        <f t="shared" si="1"/>
        <v>430046.73500029976</v>
      </c>
    </row>
    <row r="53" spans="2:24" ht="15" customHeight="1">
      <c r="B53" s="558" t="s">
        <v>323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  <c r="H53" s="253">
        <v>0</v>
      </c>
      <c r="I53" s="252">
        <f>I52</f>
        <v>0</v>
      </c>
      <c r="J53" s="252">
        <v>0</v>
      </c>
      <c r="K53" s="252">
        <f>K52</f>
        <v>3602.0908038461544</v>
      </c>
      <c r="L53" s="252">
        <f>L52</f>
        <v>20503.955485714287</v>
      </c>
      <c r="M53" s="252">
        <f>M52</f>
        <v>2601.510025</v>
      </c>
      <c r="N53" s="252">
        <f>N52</f>
        <v>11333.333333333336</v>
      </c>
      <c r="O53" s="549">
        <f>O52</f>
        <v>14995.778118854689</v>
      </c>
      <c r="P53" s="748">
        <f t="shared" si="19"/>
        <v>53036.66776674846</v>
      </c>
      <c r="Q53" s="751">
        <f>Q52+P53</f>
        <v>2634759.466664849</v>
      </c>
      <c r="R53" s="697">
        <f>R48</f>
        <v>115790.091732</v>
      </c>
      <c r="S53" s="678">
        <f>S52+R53</f>
        <v>2607559.6256304</v>
      </c>
      <c r="T53" s="701">
        <f>T52</f>
        <v>520000</v>
      </c>
      <c r="U53" s="754">
        <f>T53+S53-Q53</f>
        <v>492800.1589655513</v>
      </c>
      <c r="W53" s="705">
        <v>50</v>
      </c>
      <c r="X53" s="706">
        <f t="shared" si="1"/>
        <v>492800.1589655513</v>
      </c>
    </row>
    <row r="54" spans="2:24" ht="15" customHeight="1">
      <c r="B54" s="558" t="s">
        <v>324</v>
      </c>
      <c r="C54" s="253">
        <v>0</v>
      </c>
      <c r="D54" s="253">
        <v>0</v>
      </c>
      <c r="E54" s="253">
        <v>0</v>
      </c>
      <c r="F54" s="253">
        <v>0</v>
      </c>
      <c r="G54" s="253">
        <v>0</v>
      </c>
      <c r="H54" s="253">
        <v>0</v>
      </c>
      <c r="I54" s="252">
        <f>I52</f>
        <v>0</v>
      </c>
      <c r="J54" s="252">
        <v>0</v>
      </c>
      <c r="K54" s="252">
        <f aca="true" t="shared" si="28" ref="K54:K62">K53</f>
        <v>3602.0908038461544</v>
      </c>
      <c r="L54" s="252">
        <f>L53</f>
        <v>20503.955485714287</v>
      </c>
      <c r="M54" s="252">
        <f aca="true" t="shared" si="29" ref="M54:M63">M53</f>
        <v>2601.510025</v>
      </c>
      <c r="N54" s="252">
        <f aca="true" t="shared" si="30" ref="N54:N63">N53</f>
        <v>11333.333333333336</v>
      </c>
      <c r="O54" s="549">
        <f aca="true" t="shared" si="31" ref="O54:O63">O53</f>
        <v>14995.778118854689</v>
      </c>
      <c r="P54" s="748">
        <f t="shared" si="19"/>
        <v>53036.66776674846</v>
      </c>
      <c r="Q54" s="751">
        <f aca="true" t="shared" si="32" ref="Q54:Q62">Q53+P54</f>
        <v>2687796.1344315973</v>
      </c>
      <c r="R54" s="697">
        <f aca="true" t="shared" si="33" ref="R54:R59">R49</f>
        <v>115790.091732</v>
      </c>
      <c r="S54" s="678">
        <f aca="true" t="shared" si="34" ref="S54:S62">S53+R54</f>
        <v>2723349.7173624</v>
      </c>
      <c r="T54" s="701">
        <f>T52</f>
        <v>520000</v>
      </c>
      <c r="U54" s="754">
        <f aca="true" t="shared" si="35" ref="U54:U62">T54+S54-Q54</f>
        <v>555553.5829308028</v>
      </c>
      <c r="W54" s="705">
        <v>51</v>
      </c>
      <c r="X54" s="706">
        <f t="shared" si="1"/>
        <v>555553.5829308028</v>
      </c>
    </row>
    <row r="55" spans="2:24" ht="15" customHeight="1">
      <c r="B55" s="558" t="s">
        <v>325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  <c r="H55" s="253">
        <v>0</v>
      </c>
      <c r="I55" s="252">
        <f>I52</f>
        <v>0</v>
      </c>
      <c r="J55" s="252">
        <v>0</v>
      </c>
      <c r="K55" s="252">
        <f t="shared" si="28"/>
        <v>3602.0908038461544</v>
      </c>
      <c r="L55" s="252">
        <f>L54</f>
        <v>20503.955485714287</v>
      </c>
      <c r="M55" s="252">
        <f t="shared" si="29"/>
        <v>2601.510025</v>
      </c>
      <c r="N55" s="252">
        <f t="shared" si="30"/>
        <v>11333.333333333336</v>
      </c>
      <c r="O55" s="549">
        <f t="shared" si="31"/>
        <v>14995.778118854689</v>
      </c>
      <c r="P55" s="748">
        <f t="shared" si="19"/>
        <v>53036.66776674846</v>
      </c>
      <c r="Q55" s="751">
        <f t="shared" si="32"/>
        <v>2740832.802198346</v>
      </c>
      <c r="R55" s="697">
        <f t="shared" si="33"/>
        <v>115790.091732</v>
      </c>
      <c r="S55" s="678">
        <f t="shared" si="34"/>
        <v>2839139.8090944</v>
      </c>
      <c r="T55" s="701">
        <f>T52</f>
        <v>520000</v>
      </c>
      <c r="U55" s="754">
        <f t="shared" si="35"/>
        <v>618307.0068960544</v>
      </c>
      <c r="W55" s="705">
        <v>52</v>
      </c>
      <c r="X55" s="706">
        <f t="shared" si="1"/>
        <v>618307.0068960544</v>
      </c>
    </row>
    <row r="56" spans="2:24" ht="15" customHeight="1">
      <c r="B56" s="558" t="s">
        <v>326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  <c r="H56" s="253">
        <v>0</v>
      </c>
      <c r="I56" s="252">
        <f>I52</f>
        <v>0</v>
      </c>
      <c r="J56" s="252">
        <f>Betriebsaufwand!H5/4</f>
        <v>20196.103846153845</v>
      </c>
      <c r="K56" s="252">
        <f t="shared" si="28"/>
        <v>3602.0908038461544</v>
      </c>
      <c r="L56" s="252">
        <f>L55</f>
        <v>20503.955485714287</v>
      </c>
      <c r="M56" s="252">
        <f t="shared" si="29"/>
        <v>2601.510025</v>
      </c>
      <c r="N56" s="252">
        <f t="shared" si="30"/>
        <v>11333.333333333336</v>
      </c>
      <c r="O56" s="549">
        <f t="shared" si="31"/>
        <v>14995.778118854689</v>
      </c>
      <c r="P56" s="748">
        <f t="shared" si="19"/>
        <v>73232.77161290232</v>
      </c>
      <c r="Q56" s="751">
        <f t="shared" si="32"/>
        <v>2814065.573811248</v>
      </c>
      <c r="R56" s="697">
        <f t="shared" si="33"/>
        <v>115790.091732</v>
      </c>
      <c r="S56" s="678">
        <f t="shared" si="34"/>
        <v>2954929.9008264</v>
      </c>
      <c r="T56" s="701">
        <f>T52</f>
        <v>520000</v>
      </c>
      <c r="U56" s="754">
        <f t="shared" si="35"/>
        <v>660864.3270151522</v>
      </c>
      <c r="W56" s="705">
        <v>53</v>
      </c>
      <c r="X56" s="706">
        <f t="shared" si="1"/>
        <v>660864.3270151522</v>
      </c>
    </row>
    <row r="57" spans="2:24" ht="15" customHeight="1">
      <c r="B57" s="558" t="s">
        <v>327</v>
      </c>
      <c r="C57" s="253">
        <v>0</v>
      </c>
      <c r="D57" s="253">
        <v>0</v>
      </c>
      <c r="E57" s="253">
        <v>0</v>
      </c>
      <c r="F57" s="253">
        <v>0</v>
      </c>
      <c r="G57" s="253">
        <v>0</v>
      </c>
      <c r="H57" s="253">
        <v>0</v>
      </c>
      <c r="I57" s="252">
        <f>I52</f>
        <v>0</v>
      </c>
      <c r="J57" s="252">
        <f>J56</f>
        <v>20196.103846153845</v>
      </c>
      <c r="K57" s="252">
        <f t="shared" si="28"/>
        <v>3602.0908038461544</v>
      </c>
      <c r="L57" s="252">
        <f>L52*2</f>
        <v>41007.91097142857</v>
      </c>
      <c r="M57" s="252">
        <f t="shared" si="29"/>
        <v>2601.510025</v>
      </c>
      <c r="N57" s="252">
        <f t="shared" si="30"/>
        <v>11333.333333333336</v>
      </c>
      <c r="O57" s="549">
        <f t="shared" si="31"/>
        <v>14995.778118854689</v>
      </c>
      <c r="P57" s="748">
        <f t="shared" si="19"/>
        <v>93736.72709861661</v>
      </c>
      <c r="Q57" s="751">
        <f t="shared" si="32"/>
        <v>2907802.3009098647</v>
      </c>
      <c r="R57" s="697">
        <f t="shared" si="33"/>
        <v>115790.091732</v>
      </c>
      <c r="S57" s="678">
        <f t="shared" si="34"/>
        <v>3070719.9925584</v>
      </c>
      <c r="T57" s="701">
        <f>T52</f>
        <v>520000</v>
      </c>
      <c r="U57" s="754">
        <f t="shared" si="35"/>
        <v>682917.6916485354</v>
      </c>
      <c r="W57" s="705">
        <v>54</v>
      </c>
      <c r="X57" s="706">
        <f t="shared" si="1"/>
        <v>682917.6916485354</v>
      </c>
    </row>
    <row r="58" spans="2:24" ht="15" customHeight="1">
      <c r="B58" s="558" t="s">
        <v>328</v>
      </c>
      <c r="C58" s="253">
        <v>0</v>
      </c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2">
        <f>I57</f>
        <v>0</v>
      </c>
      <c r="J58" s="252">
        <f>J56</f>
        <v>20196.103846153845</v>
      </c>
      <c r="K58" s="252">
        <f t="shared" si="28"/>
        <v>3602.0908038461544</v>
      </c>
      <c r="L58" s="252">
        <f>L52</f>
        <v>20503.955485714287</v>
      </c>
      <c r="M58" s="252">
        <f t="shared" si="29"/>
        <v>2601.510025</v>
      </c>
      <c r="N58" s="252">
        <f t="shared" si="30"/>
        <v>11333.333333333336</v>
      </c>
      <c r="O58" s="549">
        <f t="shared" si="31"/>
        <v>14995.778118854689</v>
      </c>
      <c r="P58" s="748">
        <f t="shared" si="19"/>
        <v>73232.77161290232</v>
      </c>
      <c r="Q58" s="751">
        <f t="shared" si="32"/>
        <v>2981035.072522767</v>
      </c>
      <c r="R58" s="697">
        <f t="shared" si="33"/>
        <v>115790.091732</v>
      </c>
      <c r="S58" s="678">
        <f t="shared" si="34"/>
        <v>3186510.0842904</v>
      </c>
      <c r="T58" s="701">
        <f>T52</f>
        <v>520000</v>
      </c>
      <c r="U58" s="754">
        <f t="shared" si="35"/>
        <v>725475.0117676333</v>
      </c>
      <c r="W58" s="705">
        <v>55</v>
      </c>
      <c r="X58" s="706">
        <f t="shared" si="1"/>
        <v>725475.0117676333</v>
      </c>
    </row>
    <row r="59" spans="2:24" ht="15" customHeight="1">
      <c r="B59" s="558" t="s">
        <v>329</v>
      </c>
      <c r="C59" s="253">
        <v>0</v>
      </c>
      <c r="D59" s="253">
        <v>0</v>
      </c>
      <c r="E59" s="253">
        <v>0</v>
      </c>
      <c r="F59" s="253">
        <v>0</v>
      </c>
      <c r="G59" s="253">
        <v>0</v>
      </c>
      <c r="H59" s="253">
        <v>0</v>
      </c>
      <c r="I59" s="252">
        <f>I57</f>
        <v>0</v>
      </c>
      <c r="J59" s="252">
        <f>J56</f>
        <v>20196.103846153845</v>
      </c>
      <c r="K59" s="252">
        <f t="shared" si="28"/>
        <v>3602.0908038461544</v>
      </c>
      <c r="L59" s="252">
        <f>L53</f>
        <v>20503.955485714287</v>
      </c>
      <c r="M59" s="252">
        <f t="shared" si="29"/>
        <v>2601.510025</v>
      </c>
      <c r="N59" s="252">
        <f t="shared" si="30"/>
        <v>11333.333333333336</v>
      </c>
      <c r="O59" s="549">
        <f t="shared" si="31"/>
        <v>14995.778118854689</v>
      </c>
      <c r="P59" s="748">
        <f t="shared" si="19"/>
        <v>73232.77161290232</v>
      </c>
      <c r="Q59" s="751">
        <f t="shared" si="32"/>
        <v>3054267.844135669</v>
      </c>
      <c r="R59" s="697">
        <f t="shared" si="33"/>
        <v>115790.091732</v>
      </c>
      <c r="S59" s="678">
        <f t="shared" si="34"/>
        <v>3302300.1760224</v>
      </c>
      <c r="T59" s="701">
        <f>T52</f>
        <v>520000</v>
      </c>
      <c r="U59" s="754">
        <f t="shared" si="35"/>
        <v>768032.3318867311</v>
      </c>
      <c r="W59" s="705">
        <v>56</v>
      </c>
      <c r="X59" s="706">
        <f t="shared" si="1"/>
        <v>768032.3318867311</v>
      </c>
    </row>
    <row r="60" spans="2:21" ht="15" customHeight="1">
      <c r="B60" s="558" t="s">
        <v>330</v>
      </c>
      <c r="C60" s="253">
        <v>0</v>
      </c>
      <c r="D60" s="253">
        <v>0</v>
      </c>
      <c r="E60" s="253">
        <v>0</v>
      </c>
      <c r="F60" s="253">
        <v>0</v>
      </c>
      <c r="G60" s="253">
        <v>0</v>
      </c>
      <c r="H60" s="253">
        <v>0</v>
      </c>
      <c r="I60" s="252">
        <f>I57</f>
        <v>0</v>
      </c>
      <c r="J60" s="252">
        <v>0</v>
      </c>
      <c r="K60" s="252">
        <f t="shared" si="28"/>
        <v>3602.0908038461544</v>
      </c>
      <c r="L60" s="252">
        <f>L54</f>
        <v>20503.955485714287</v>
      </c>
      <c r="M60" s="252">
        <f t="shared" si="29"/>
        <v>2601.510025</v>
      </c>
      <c r="N60" s="252">
        <f t="shared" si="30"/>
        <v>11333.333333333336</v>
      </c>
      <c r="O60" s="549">
        <f t="shared" si="31"/>
        <v>14995.778118854689</v>
      </c>
      <c r="P60" s="748">
        <f t="shared" si="19"/>
        <v>53036.66776674846</v>
      </c>
      <c r="Q60" s="751">
        <f t="shared" si="32"/>
        <v>3107304.5119024175</v>
      </c>
      <c r="R60" s="699"/>
      <c r="S60" s="678">
        <f t="shared" si="34"/>
        <v>3302300.1760224</v>
      </c>
      <c r="T60" s="701">
        <f>T52</f>
        <v>520000</v>
      </c>
      <c r="U60" s="754">
        <f t="shared" si="35"/>
        <v>714995.6641199826</v>
      </c>
    </row>
    <row r="61" spans="2:21" ht="15" customHeight="1">
      <c r="B61" s="558" t="s">
        <v>331</v>
      </c>
      <c r="C61" s="253">
        <v>0</v>
      </c>
      <c r="D61" s="253">
        <v>0</v>
      </c>
      <c r="E61" s="253">
        <v>0</v>
      </c>
      <c r="F61" s="253">
        <v>0</v>
      </c>
      <c r="G61" s="253">
        <v>0</v>
      </c>
      <c r="H61" s="253">
        <v>0</v>
      </c>
      <c r="I61" s="252">
        <f>I57</f>
        <v>0</v>
      </c>
      <c r="J61" s="252">
        <v>0</v>
      </c>
      <c r="K61" s="252">
        <f t="shared" si="28"/>
        <v>3602.0908038461544</v>
      </c>
      <c r="L61" s="252">
        <f>L55</f>
        <v>20503.955485714287</v>
      </c>
      <c r="M61" s="252">
        <f t="shared" si="29"/>
        <v>2601.510025</v>
      </c>
      <c r="N61" s="252">
        <f t="shared" si="30"/>
        <v>11333.333333333336</v>
      </c>
      <c r="O61" s="549">
        <f t="shared" si="31"/>
        <v>14995.778118854689</v>
      </c>
      <c r="P61" s="748">
        <f t="shared" si="19"/>
        <v>53036.66776674846</v>
      </c>
      <c r="Q61" s="751">
        <f t="shared" si="32"/>
        <v>3160341.179669166</v>
      </c>
      <c r="R61" s="699"/>
      <c r="S61" s="678">
        <f t="shared" si="34"/>
        <v>3302300.1760224</v>
      </c>
      <c r="T61" s="701">
        <f>T52</f>
        <v>520000</v>
      </c>
      <c r="U61" s="754">
        <f>T61+S61-Q61</f>
        <v>661958.9963532342</v>
      </c>
    </row>
    <row r="62" spans="2:21" ht="15" customHeight="1">
      <c r="B62" s="558" t="s">
        <v>332</v>
      </c>
      <c r="C62" s="550">
        <v>0</v>
      </c>
      <c r="D62" s="550">
        <v>0</v>
      </c>
      <c r="E62" s="550">
        <v>0</v>
      </c>
      <c r="F62" s="550">
        <v>0</v>
      </c>
      <c r="G62" s="550">
        <v>0</v>
      </c>
      <c r="H62" s="550">
        <v>0</v>
      </c>
      <c r="I62" s="252">
        <f>I57</f>
        <v>0</v>
      </c>
      <c r="J62" s="252">
        <v>0</v>
      </c>
      <c r="K62" s="252">
        <f t="shared" si="28"/>
        <v>3602.0908038461544</v>
      </c>
      <c r="L62" s="252">
        <f>L52*2</f>
        <v>41007.91097142857</v>
      </c>
      <c r="M62" s="252">
        <f t="shared" si="29"/>
        <v>2601.510025</v>
      </c>
      <c r="N62" s="252">
        <f t="shared" si="30"/>
        <v>11333.333333333336</v>
      </c>
      <c r="O62" s="549">
        <f t="shared" si="31"/>
        <v>14995.778118854689</v>
      </c>
      <c r="P62" s="748">
        <f t="shared" si="19"/>
        <v>73540.62325246276</v>
      </c>
      <c r="Q62" s="751">
        <f t="shared" si="32"/>
        <v>3233881.8029216286</v>
      </c>
      <c r="R62" s="699"/>
      <c r="S62" s="678">
        <f t="shared" si="34"/>
        <v>3302300.1760224</v>
      </c>
      <c r="T62" s="701">
        <f>T52</f>
        <v>520000</v>
      </c>
      <c r="U62" s="754">
        <f t="shared" si="35"/>
        <v>588418.3731007716</v>
      </c>
    </row>
    <row r="63" spans="2:21" ht="15" customHeight="1" thickBot="1">
      <c r="B63" s="559" t="s">
        <v>333</v>
      </c>
      <c r="C63" s="551">
        <v>0</v>
      </c>
      <c r="D63" s="551">
        <v>0</v>
      </c>
      <c r="E63" s="551">
        <v>0</v>
      </c>
      <c r="F63" s="551">
        <v>0</v>
      </c>
      <c r="G63" s="551">
        <v>0</v>
      </c>
      <c r="H63" s="551">
        <v>0</v>
      </c>
      <c r="I63" s="552">
        <f>I62</f>
        <v>0</v>
      </c>
      <c r="J63" s="552">
        <v>0</v>
      </c>
      <c r="K63" s="552">
        <f>K52</f>
        <v>3602.0908038461544</v>
      </c>
      <c r="L63" s="552">
        <f>L52</f>
        <v>20503.955485714287</v>
      </c>
      <c r="M63" s="252">
        <f t="shared" si="29"/>
        <v>2601.510025</v>
      </c>
      <c r="N63" s="252">
        <f t="shared" si="30"/>
        <v>11333.333333333336</v>
      </c>
      <c r="O63" s="549">
        <f t="shared" si="31"/>
        <v>14995.778118854689</v>
      </c>
      <c r="P63" s="749">
        <f t="shared" si="19"/>
        <v>53036.66776674846</v>
      </c>
      <c r="Q63" s="752">
        <f>Q62+P63</f>
        <v>3286918.470688377</v>
      </c>
      <c r="R63" s="700"/>
      <c r="S63" s="689">
        <f>S62+R63</f>
        <v>3302300.1760224</v>
      </c>
      <c r="T63" s="702">
        <f>T52</f>
        <v>520000</v>
      </c>
      <c r="U63" s="755">
        <f>T63+S63-Q63</f>
        <v>535381.7053340231</v>
      </c>
    </row>
    <row r="64" spans="2:16" ht="15" customHeight="1" thickBot="1">
      <c r="B64" s="545" t="s">
        <v>185</v>
      </c>
      <c r="C64" s="555">
        <f aca="true" t="shared" si="36" ref="C64:L64">SUM(C4:C63)</f>
        <v>0</v>
      </c>
      <c r="D64" s="555">
        <f t="shared" si="36"/>
        <v>0</v>
      </c>
      <c r="E64" s="555">
        <f t="shared" si="36"/>
        <v>0</v>
      </c>
      <c r="F64" s="555">
        <f t="shared" si="36"/>
        <v>0</v>
      </c>
      <c r="G64" s="555">
        <f t="shared" si="36"/>
        <v>0</v>
      </c>
      <c r="H64" s="555">
        <f t="shared" si="36"/>
        <v>0</v>
      </c>
      <c r="I64" s="555">
        <f t="shared" si="36"/>
        <v>73333.33333333336</v>
      </c>
      <c r="J64" s="555">
        <f t="shared" si="36"/>
        <v>275605.1076923077</v>
      </c>
      <c r="K64" s="555">
        <f t="shared" si="36"/>
        <v>157061.62387692308</v>
      </c>
      <c r="L64" s="555">
        <f t="shared" si="36"/>
        <v>1212224.2168</v>
      </c>
      <c r="M64" s="555">
        <f>SUM(M4:M63)</f>
        <v>153030.15029999998</v>
      </c>
      <c r="N64" s="555">
        <f>SUM(N4:N63)</f>
        <v>551733.3333333335</v>
      </c>
      <c r="O64" s="556">
        <f>SUM(O4:O63)</f>
        <v>863930.705352481</v>
      </c>
      <c r="P64" s="681">
        <f>SUM(P4:P63)</f>
        <v>3286918.470688377</v>
      </c>
    </row>
  </sheetData>
  <mergeCells count="2">
    <mergeCell ref="B2:G2"/>
    <mergeCell ref="J1:L1"/>
  </mergeCells>
  <printOptions/>
  <pageMargins left="0.75" right="0.75" top="1" bottom="1" header="0.5" footer="0.5"/>
  <pageSetup orientation="landscape" paperSize="9" scale="72" r:id="rId4"/>
  <colBreaks count="1" manualBreakCount="1">
    <brk id="15" max="63" man="1"/>
  </colBreaks>
  <ignoredErrors>
    <ignoredError sqref="O9 J20:L20 I35:K35 M15 L21:L23 M37:N37 J25:L25 I39:L39 L9:L14 L29 I36:K36 M16:N20 M25:N29 M21:N24 M34:N34 J24:L24 M36:N36 I37:K37 R37 R25:R29 R16:R20 R40:R49 R34 R15 R21:R24 J21:K23 I28:K29 I34:K34 L30:L32 I33:K33 R33 R35 M33:N33 M35:N35 R36 R38 I38:K38 M38:N38 L37 L36 L35 L34 M30:N32 R30:R32 I30:K32 R39 L38 L33 L57:L58 J58 I52 I40 M52:O52 L59:L62 R50:R59" 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Q100"/>
  <sheetViews>
    <sheetView zoomScale="80" zoomScaleNormal="80" workbookViewId="0" topLeftCell="A1">
      <pane xSplit="2" ySplit="4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1" sqref="G51"/>
    </sheetView>
  </sheetViews>
  <sheetFormatPr defaultColWidth="11.00390625" defaultRowHeight="12.75"/>
  <cols>
    <col min="1" max="1" width="1.25" style="10" customWidth="1"/>
    <col min="2" max="2" width="15.00390625" style="10" customWidth="1"/>
    <col min="3" max="3" width="13.25390625" style="39" customWidth="1"/>
    <col min="4" max="4" width="12.00390625" style="39" customWidth="1"/>
    <col min="5" max="5" width="11.875" style="10" customWidth="1"/>
    <col min="6" max="8" width="14.625" style="10" customWidth="1"/>
    <col min="9" max="9" width="13.125" style="10" customWidth="1"/>
    <col min="10" max="10" width="11.625" style="10" customWidth="1"/>
    <col min="11" max="11" width="11.75390625" style="10" customWidth="1"/>
    <col min="12" max="14" width="14.625" style="10" customWidth="1"/>
    <col min="15" max="15" width="2.125" style="10" customWidth="1"/>
    <col min="16" max="16" width="11.625" style="10" customWidth="1"/>
    <col min="17" max="17" width="2.125" style="10" customWidth="1"/>
    <col min="18" max="18" width="16.00390625" style="10" customWidth="1"/>
    <col min="19" max="16384" width="10.75390625" style="10" customWidth="1"/>
  </cols>
  <sheetData>
    <row r="1" spans="2:17" ht="46.5" customHeight="1" thickBot="1">
      <c r="B1" s="62"/>
      <c r="C1" s="811" t="s">
        <v>131</v>
      </c>
      <c r="D1" s="812"/>
      <c r="E1" s="812"/>
      <c r="F1" s="812"/>
      <c r="G1" s="812"/>
      <c r="H1" s="813"/>
      <c r="I1" s="811" t="s">
        <v>132</v>
      </c>
      <c r="J1" s="812"/>
      <c r="K1" s="812"/>
      <c r="L1" s="812"/>
      <c r="M1" s="812"/>
      <c r="N1" s="813"/>
      <c r="O1" s="62"/>
      <c r="P1" s="70" t="s">
        <v>384</v>
      </c>
      <c r="Q1" s="62"/>
    </row>
    <row r="2" spans="2:17" ht="9.75" customHeight="1">
      <c r="B2" s="62"/>
      <c r="C2" s="71"/>
      <c r="D2" s="71"/>
      <c r="E2" s="62"/>
      <c r="F2" s="62"/>
      <c r="G2" s="62"/>
      <c r="H2" s="62"/>
      <c r="I2" s="71"/>
      <c r="J2" s="71"/>
      <c r="K2" s="62"/>
      <c r="L2" s="62"/>
      <c r="M2" s="62"/>
      <c r="N2" s="62"/>
      <c r="O2" s="62"/>
      <c r="P2" s="62"/>
      <c r="Q2" s="62"/>
    </row>
    <row r="3" spans="2:17" s="2" customFormat="1" ht="9.75" customHeight="1" thickBo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2:17" ht="54" customHeight="1">
      <c r="B4" s="72"/>
      <c r="C4" s="73" t="s">
        <v>117</v>
      </c>
      <c r="D4" s="74" t="s">
        <v>118</v>
      </c>
      <c r="E4" s="96" t="s">
        <v>122</v>
      </c>
      <c r="F4" s="73" t="s">
        <v>119</v>
      </c>
      <c r="G4" s="74" t="s">
        <v>120</v>
      </c>
      <c r="H4" s="96" t="s">
        <v>121</v>
      </c>
      <c r="I4" s="73" t="s">
        <v>117</v>
      </c>
      <c r="J4" s="74" t="s">
        <v>118</v>
      </c>
      <c r="K4" s="96" t="s">
        <v>122</v>
      </c>
      <c r="L4" s="73" t="s">
        <v>119</v>
      </c>
      <c r="M4" s="74" t="s">
        <v>120</v>
      </c>
      <c r="N4" s="96" t="s">
        <v>121</v>
      </c>
      <c r="O4" s="62"/>
      <c r="P4" s="75" t="s">
        <v>130</v>
      </c>
      <c r="Q4" s="62"/>
    </row>
    <row r="5" spans="2:17" ht="15.75" customHeight="1">
      <c r="B5" s="85" t="s">
        <v>46</v>
      </c>
      <c r="C5" s="86"/>
      <c r="D5" s="87"/>
      <c r="E5" s="88"/>
      <c r="F5" s="86"/>
      <c r="G5" s="89"/>
      <c r="H5" s="88"/>
      <c r="I5" s="86"/>
      <c r="J5" s="87"/>
      <c r="K5" s="88"/>
      <c r="L5" s="86"/>
      <c r="M5" s="89"/>
      <c r="N5" s="88"/>
      <c r="O5" s="62"/>
      <c r="P5" s="78"/>
      <c r="Q5" s="62"/>
    </row>
    <row r="6" spans="2:17" ht="15.75" customHeight="1">
      <c r="B6" s="95" t="s">
        <v>47</v>
      </c>
      <c r="C6" s="286">
        <v>0</v>
      </c>
      <c r="D6" s="287">
        <v>0</v>
      </c>
      <c r="E6" s="104">
        <f>AVERAGE(C6:D6)</f>
        <v>0</v>
      </c>
      <c r="F6" s="286">
        <v>0</v>
      </c>
      <c r="G6" s="287">
        <v>0</v>
      </c>
      <c r="H6" s="103">
        <f>AVERAGE(F6:G6)</f>
        <v>0</v>
      </c>
      <c r="I6" s="286">
        <v>18</v>
      </c>
      <c r="J6" s="287">
        <v>18</v>
      </c>
      <c r="K6" s="104">
        <f>AVERAGE(I6:J6)</f>
        <v>18</v>
      </c>
      <c r="L6" s="286">
        <v>16</v>
      </c>
      <c r="M6" s="287">
        <v>16</v>
      </c>
      <c r="N6" s="104">
        <f>AVERAGE(L6:M6)</f>
        <v>16</v>
      </c>
      <c r="O6" s="62"/>
      <c r="P6" s="83">
        <v>0.912</v>
      </c>
      <c r="Q6" s="62"/>
    </row>
    <row r="7" spans="2:17" ht="15.75" customHeight="1">
      <c r="B7" s="95" t="s">
        <v>48</v>
      </c>
      <c r="C7" s="286">
        <v>0</v>
      </c>
      <c r="D7" s="287">
        <v>0</v>
      </c>
      <c r="E7" s="104">
        <f>AVERAGE(C7:D7)</f>
        <v>0</v>
      </c>
      <c r="F7" s="286">
        <v>0</v>
      </c>
      <c r="G7" s="287">
        <v>0</v>
      </c>
      <c r="H7" s="103">
        <f>AVERAGE(F7:G7)</f>
        <v>0</v>
      </c>
      <c r="I7" s="286">
        <v>20</v>
      </c>
      <c r="J7" s="287">
        <v>20</v>
      </c>
      <c r="K7" s="104">
        <f>AVERAGE(I7:J7)</f>
        <v>20</v>
      </c>
      <c r="L7" s="286">
        <v>18</v>
      </c>
      <c r="M7" s="287">
        <v>18</v>
      </c>
      <c r="N7" s="104">
        <f>AVERAGE(L7:M7)</f>
        <v>18</v>
      </c>
      <c r="O7" s="62"/>
      <c r="P7" s="83">
        <v>0.925</v>
      </c>
      <c r="Q7" s="62"/>
    </row>
    <row r="8" spans="2:17" ht="15.75" customHeight="1">
      <c r="B8" s="95" t="s">
        <v>49</v>
      </c>
      <c r="C8" s="286">
        <v>0</v>
      </c>
      <c r="D8" s="287">
        <v>0</v>
      </c>
      <c r="E8" s="104">
        <f>AVERAGE(C8:D8)</f>
        <v>0</v>
      </c>
      <c r="F8" s="286">
        <v>0</v>
      </c>
      <c r="G8" s="287">
        <v>0</v>
      </c>
      <c r="H8" s="103">
        <f>AVERAGE(F8:G8)</f>
        <v>0</v>
      </c>
      <c r="I8" s="286">
        <v>22</v>
      </c>
      <c r="J8" s="287">
        <v>22</v>
      </c>
      <c r="K8" s="104">
        <f>AVERAGE(I8:J8)</f>
        <v>22</v>
      </c>
      <c r="L8" s="286">
        <v>20</v>
      </c>
      <c r="M8" s="287">
        <v>20</v>
      </c>
      <c r="N8" s="104">
        <f>AVERAGE(L8:M8)</f>
        <v>20</v>
      </c>
      <c r="O8" s="62"/>
      <c r="P8" s="83">
        <v>0.924</v>
      </c>
      <c r="Q8" s="62"/>
    </row>
    <row r="9" spans="2:17" ht="15.75" customHeight="1">
      <c r="B9" s="95" t="s">
        <v>50</v>
      </c>
      <c r="C9" s="286">
        <v>0</v>
      </c>
      <c r="D9" s="287">
        <v>0</v>
      </c>
      <c r="E9" s="104">
        <f>AVERAGE(C9:D9)</f>
        <v>0</v>
      </c>
      <c r="F9" s="286">
        <v>0</v>
      </c>
      <c r="G9" s="287">
        <v>0</v>
      </c>
      <c r="H9" s="103">
        <f>AVERAGE(F9:G9)</f>
        <v>0</v>
      </c>
      <c r="I9" s="286">
        <v>22</v>
      </c>
      <c r="J9" s="287">
        <v>22</v>
      </c>
      <c r="K9" s="104">
        <f>AVERAGE(I9:J9)</f>
        <v>22</v>
      </c>
      <c r="L9" s="286">
        <v>20</v>
      </c>
      <c r="M9" s="287">
        <v>20</v>
      </c>
      <c r="N9" s="104">
        <f>AVERAGE(L9:M9)</f>
        <v>20</v>
      </c>
      <c r="O9" s="62"/>
      <c r="P9" s="83">
        <v>0.916</v>
      </c>
      <c r="Q9" s="62"/>
    </row>
    <row r="10" spans="2:17" ht="15.75" customHeight="1">
      <c r="B10" s="85" t="s">
        <v>15</v>
      </c>
      <c r="C10" s="86"/>
      <c r="D10" s="87"/>
      <c r="E10" s="90"/>
      <c r="F10" s="86"/>
      <c r="G10" s="87"/>
      <c r="H10" s="90"/>
      <c r="I10" s="86"/>
      <c r="J10" s="87"/>
      <c r="K10" s="88"/>
      <c r="L10" s="86"/>
      <c r="M10" s="89"/>
      <c r="N10" s="88"/>
      <c r="O10" s="62"/>
      <c r="P10" s="78"/>
      <c r="Q10" s="62"/>
    </row>
    <row r="11" spans="2:17" ht="15.75" customHeight="1">
      <c r="B11" s="95" t="s">
        <v>47</v>
      </c>
      <c r="C11" s="286">
        <v>0</v>
      </c>
      <c r="D11" s="287">
        <v>0</v>
      </c>
      <c r="E11" s="104">
        <f>AVERAGE(C11:D11)</f>
        <v>0</v>
      </c>
      <c r="F11" s="286">
        <v>0</v>
      </c>
      <c r="G11" s="287">
        <v>0</v>
      </c>
      <c r="H11" s="103">
        <f>AVERAGE(F11:G11)</f>
        <v>0</v>
      </c>
      <c r="I11" s="286">
        <v>18</v>
      </c>
      <c r="J11" s="287">
        <v>18</v>
      </c>
      <c r="K11" s="104">
        <f>AVERAGE(I11:J11)</f>
        <v>18</v>
      </c>
      <c r="L11" s="286">
        <v>15</v>
      </c>
      <c r="M11" s="287">
        <v>15</v>
      </c>
      <c r="N11" s="104">
        <f>AVERAGE(L11:M11)</f>
        <v>15</v>
      </c>
      <c r="O11" s="62"/>
      <c r="P11" s="100">
        <f>P6</f>
        <v>0.912</v>
      </c>
      <c r="Q11" s="62"/>
    </row>
    <row r="12" spans="2:17" ht="15.75" customHeight="1">
      <c r="B12" s="95" t="s">
        <v>48</v>
      </c>
      <c r="C12" s="286">
        <v>0</v>
      </c>
      <c r="D12" s="287">
        <v>0</v>
      </c>
      <c r="E12" s="104">
        <f>AVERAGE(C12:D12)</f>
        <v>0</v>
      </c>
      <c r="F12" s="286">
        <v>0</v>
      </c>
      <c r="G12" s="287">
        <v>0</v>
      </c>
      <c r="H12" s="103">
        <f>AVERAGE(F12:G12)</f>
        <v>0</v>
      </c>
      <c r="I12" s="286">
        <v>20</v>
      </c>
      <c r="J12" s="287">
        <v>20</v>
      </c>
      <c r="K12" s="104">
        <f>AVERAGE(I12:J12)</f>
        <v>20</v>
      </c>
      <c r="L12" s="286">
        <v>16</v>
      </c>
      <c r="M12" s="287">
        <v>16</v>
      </c>
      <c r="N12" s="104">
        <f>AVERAGE(L12:M12)</f>
        <v>16</v>
      </c>
      <c r="O12" s="62"/>
      <c r="P12" s="100">
        <f>P7</f>
        <v>0.925</v>
      </c>
      <c r="Q12" s="62"/>
    </row>
    <row r="13" spans="2:17" ht="15.75" customHeight="1">
      <c r="B13" s="95" t="s">
        <v>49</v>
      </c>
      <c r="C13" s="286">
        <v>0</v>
      </c>
      <c r="D13" s="287">
        <v>0</v>
      </c>
      <c r="E13" s="104">
        <f>AVERAGE(C13:D13)</f>
        <v>0</v>
      </c>
      <c r="F13" s="286">
        <v>0</v>
      </c>
      <c r="G13" s="287">
        <v>0</v>
      </c>
      <c r="H13" s="103">
        <f>AVERAGE(F13:G13)</f>
        <v>0</v>
      </c>
      <c r="I13" s="286">
        <v>22</v>
      </c>
      <c r="J13" s="287">
        <v>22</v>
      </c>
      <c r="K13" s="104">
        <f>AVERAGE(I13:J13)</f>
        <v>22</v>
      </c>
      <c r="L13" s="286">
        <v>18</v>
      </c>
      <c r="M13" s="287">
        <v>18</v>
      </c>
      <c r="N13" s="104">
        <f>AVERAGE(L13:M13)</f>
        <v>18</v>
      </c>
      <c r="O13" s="62"/>
      <c r="P13" s="100">
        <f>P8</f>
        <v>0.924</v>
      </c>
      <c r="Q13" s="62"/>
    </row>
    <row r="14" spans="2:17" s="2" customFormat="1" ht="15.75" customHeight="1" thickBot="1">
      <c r="B14" s="95" t="s">
        <v>50</v>
      </c>
      <c r="C14" s="286">
        <v>0</v>
      </c>
      <c r="D14" s="287">
        <v>0</v>
      </c>
      <c r="E14" s="104">
        <f>AVERAGE(C14:D14)</f>
        <v>0</v>
      </c>
      <c r="F14" s="286">
        <v>0</v>
      </c>
      <c r="G14" s="287">
        <v>0</v>
      </c>
      <c r="H14" s="103">
        <f>AVERAGE(F14:G14)</f>
        <v>0</v>
      </c>
      <c r="I14" s="286">
        <v>22</v>
      </c>
      <c r="J14" s="287">
        <v>22</v>
      </c>
      <c r="K14" s="104">
        <f>AVERAGE(I14:J14)</f>
        <v>22</v>
      </c>
      <c r="L14" s="286">
        <v>18</v>
      </c>
      <c r="M14" s="287">
        <v>18</v>
      </c>
      <c r="N14" s="104">
        <f>AVERAGE(L14:M14)</f>
        <v>18</v>
      </c>
      <c r="O14" s="62"/>
      <c r="P14" s="101">
        <f>P9</f>
        <v>0.916</v>
      </c>
      <c r="Q14" s="62"/>
    </row>
    <row r="15" spans="2:17" s="2" customFormat="1" ht="54" customHeight="1">
      <c r="B15" s="62"/>
      <c r="C15" s="98" t="s">
        <v>124</v>
      </c>
      <c r="D15" s="99" t="s">
        <v>125</v>
      </c>
      <c r="E15" s="96" t="s">
        <v>126</v>
      </c>
      <c r="F15" s="98" t="s">
        <v>127</v>
      </c>
      <c r="G15" s="99" t="s">
        <v>128</v>
      </c>
      <c r="H15" s="96" t="s">
        <v>129</v>
      </c>
      <c r="I15" s="98" t="s">
        <v>124</v>
      </c>
      <c r="J15" s="99" t="s">
        <v>125</v>
      </c>
      <c r="K15" s="96" t="s">
        <v>126</v>
      </c>
      <c r="L15" s="98" t="s">
        <v>127</v>
      </c>
      <c r="M15" s="99" t="s">
        <v>128</v>
      </c>
      <c r="N15" s="96" t="s">
        <v>129</v>
      </c>
      <c r="O15" s="62"/>
      <c r="P15" s="62"/>
      <c r="Q15" s="62"/>
    </row>
    <row r="16" spans="2:17" s="2" customFormat="1" ht="15.75" customHeight="1">
      <c r="B16" s="85" t="s">
        <v>46</v>
      </c>
      <c r="C16" s="91"/>
      <c r="D16" s="89"/>
      <c r="E16" s="88"/>
      <c r="F16" s="91"/>
      <c r="G16" s="89"/>
      <c r="H16" s="88"/>
      <c r="I16" s="91"/>
      <c r="J16" s="89"/>
      <c r="K16" s="88"/>
      <c r="L16" s="91"/>
      <c r="M16" s="89"/>
      <c r="N16" s="88"/>
      <c r="O16" s="62"/>
      <c r="P16" s="62"/>
      <c r="Q16" s="62"/>
    </row>
    <row r="17" spans="2:17" s="2" customFormat="1" ht="15.75" customHeight="1">
      <c r="B17" s="95" t="s">
        <v>47</v>
      </c>
      <c r="C17" s="102">
        <f>C6*P6</f>
        <v>0</v>
      </c>
      <c r="D17" s="103">
        <f>D6*P6</f>
        <v>0</v>
      </c>
      <c r="E17" s="104">
        <f>AVERAGE(C17:D17)</f>
        <v>0</v>
      </c>
      <c r="F17" s="102">
        <f>F6*P6</f>
        <v>0</v>
      </c>
      <c r="G17" s="103">
        <f>G6*P6</f>
        <v>0</v>
      </c>
      <c r="H17" s="104">
        <f>AVERAGE(F17:G17)</f>
        <v>0</v>
      </c>
      <c r="I17" s="347">
        <f>I6*P6</f>
        <v>16.416</v>
      </c>
      <c r="J17" s="348">
        <f>J6*P6</f>
        <v>16.416</v>
      </c>
      <c r="K17" s="349">
        <f>AVERAGE(I17:J17)</f>
        <v>16.416</v>
      </c>
      <c r="L17" s="347">
        <f>L6*P6</f>
        <v>14.592</v>
      </c>
      <c r="M17" s="348">
        <f>M6*P6</f>
        <v>14.592</v>
      </c>
      <c r="N17" s="349">
        <f>AVERAGE(L17:M17)</f>
        <v>14.592</v>
      </c>
      <c r="O17" s="62"/>
      <c r="P17" s="62"/>
      <c r="Q17" s="62"/>
    </row>
    <row r="18" spans="2:17" s="2" customFormat="1" ht="15.75" customHeight="1">
      <c r="B18" s="95" t="s">
        <v>48</v>
      </c>
      <c r="C18" s="102">
        <f>C7*P7</f>
        <v>0</v>
      </c>
      <c r="D18" s="103">
        <f>D7*P7</f>
        <v>0</v>
      </c>
      <c r="E18" s="104">
        <f>AVERAGE(C18:D18)</f>
        <v>0</v>
      </c>
      <c r="F18" s="102">
        <f>F7*P7</f>
        <v>0</v>
      </c>
      <c r="G18" s="103">
        <f>G7*P7</f>
        <v>0</v>
      </c>
      <c r="H18" s="104">
        <f>AVERAGE(F18:G18)</f>
        <v>0</v>
      </c>
      <c r="I18" s="347">
        <f>I7*P7</f>
        <v>18.5</v>
      </c>
      <c r="J18" s="348">
        <f>J7*P7</f>
        <v>18.5</v>
      </c>
      <c r="K18" s="349">
        <f>AVERAGE(I18:J18)</f>
        <v>18.5</v>
      </c>
      <c r="L18" s="347">
        <f>L7*P7</f>
        <v>16.650000000000002</v>
      </c>
      <c r="M18" s="348">
        <f>M7*P7</f>
        <v>16.650000000000002</v>
      </c>
      <c r="N18" s="349">
        <f aca="true" t="shared" si="0" ref="N18:N24">AVERAGE(L18:M18)</f>
        <v>16.650000000000002</v>
      </c>
      <c r="O18" s="62"/>
      <c r="P18" s="62"/>
      <c r="Q18" s="62"/>
    </row>
    <row r="19" spans="2:17" s="2" customFormat="1" ht="15.75" customHeight="1">
      <c r="B19" s="95" t="s">
        <v>49</v>
      </c>
      <c r="C19" s="102">
        <f>C8*P8</f>
        <v>0</v>
      </c>
      <c r="D19" s="103">
        <f>D8*P8</f>
        <v>0</v>
      </c>
      <c r="E19" s="104">
        <f>AVERAGE(C19:D19)</f>
        <v>0</v>
      </c>
      <c r="F19" s="102">
        <f>F8*P8</f>
        <v>0</v>
      </c>
      <c r="G19" s="103">
        <f>G8*P8</f>
        <v>0</v>
      </c>
      <c r="H19" s="104">
        <f>AVERAGE(F19:G19)</f>
        <v>0</v>
      </c>
      <c r="I19" s="347">
        <f>I8*P8</f>
        <v>20.328</v>
      </c>
      <c r="J19" s="348">
        <f>J8*P8</f>
        <v>20.328</v>
      </c>
      <c r="K19" s="349">
        <f>AVERAGE(I19:J19)</f>
        <v>20.328</v>
      </c>
      <c r="L19" s="347">
        <f>L8*P8</f>
        <v>18.48</v>
      </c>
      <c r="M19" s="348">
        <f>M8*P8</f>
        <v>18.48</v>
      </c>
      <c r="N19" s="349">
        <f t="shared" si="0"/>
        <v>18.48</v>
      </c>
      <c r="O19" s="62"/>
      <c r="P19" s="62"/>
      <c r="Q19" s="62"/>
    </row>
    <row r="20" spans="2:17" s="2" customFormat="1" ht="15.75" customHeight="1">
      <c r="B20" s="95" t="s">
        <v>50</v>
      </c>
      <c r="C20" s="102">
        <f>C9*P9</f>
        <v>0</v>
      </c>
      <c r="D20" s="103">
        <f>D9*P9</f>
        <v>0</v>
      </c>
      <c r="E20" s="104">
        <f>AVERAGE(C20:D20)</f>
        <v>0</v>
      </c>
      <c r="F20" s="102">
        <f>F9*P9</f>
        <v>0</v>
      </c>
      <c r="G20" s="103">
        <f>G9*P9</f>
        <v>0</v>
      </c>
      <c r="H20" s="104">
        <f>AVERAGE(F20:G20)</f>
        <v>0</v>
      </c>
      <c r="I20" s="347">
        <f>I9*P9</f>
        <v>20.152</v>
      </c>
      <c r="J20" s="348">
        <f>J9*P9</f>
        <v>20.152</v>
      </c>
      <c r="K20" s="349">
        <f>AVERAGE(I20:J20)</f>
        <v>20.152</v>
      </c>
      <c r="L20" s="347">
        <f>L9*P9</f>
        <v>18.32</v>
      </c>
      <c r="M20" s="348">
        <f>M9*P9</f>
        <v>18.32</v>
      </c>
      <c r="N20" s="349">
        <f t="shared" si="0"/>
        <v>18.32</v>
      </c>
      <c r="O20" s="62"/>
      <c r="P20" s="62"/>
      <c r="Q20" s="62"/>
    </row>
    <row r="21" spans="2:17" ht="15.75" customHeight="1">
      <c r="B21" s="85" t="s">
        <v>15</v>
      </c>
      <c r="C21" s="92"/>
      <c r="D21" s="93"/>
      <c r="E21" s="94"/>
      <c r="F21" s="92"/>
      <c r="G21" s="93"/>
      <c r="H21" s="94"/>
      <c r="I21" s="350"/>
      <c r="J21" s="351"/>
      <c r="K21" s="352"/>
      <c r="L21" s="350"/>
      <c r="M21" s="351"/>
      <c r="N21" s="352"/>
      <c r="O21" s="62"/>
      <c r="P21" s="62"/>
      <c r="Q21" s="62"/>
    </row>
    <row r="22" spans="2:17" ht="15.75" customHeight="1">
      <c r="B22" s="95" t="s">
        <v>47</v>
      </c>
      <c r="C22" s="102">
        <f>C11*P11</f>
        <v>0</v>
      </c>
      <c r="D22" s="103">
        <f>D11*P11</f>
        <v>0</v>
      </c>
      <c r="E22" s="104">
        <f>AVERAGE(C22:D22)</f>
        <v>0</v>
      </c>
      <c r="F22" s="102">
        <f>F11*P11</f>
        <v>0</v>
      </c>
      <c r="G22" s="103">
        <f>G11*P11</f>
        <v>0</v>
      </c>
      <c r="H22" s="104">
        <f>AVERAGE(F22:G22)</f>
        <v>0</v>
      </c>
      <c r="I22" s="347">
        <f>I11*P11</f>
        <v>16.416</v>
      </c>
      <c r="J22" s="348">
        <f>J11*P11</f>
        <v>16.416</v>
      </c>
      <c r="K22" s="349">
        <f>AVERAGE(I22:J22)</f>
        <v>16.416</v>
      </c>
      <c r="L22" s="347">
        <f>L11*P11</f>
        <v>13.68</v>
      </c>
      <c r="M22" s="348">
        <f>M11*P11</f>
        <v>13.68</v>
      </c>
      <c r="N22" s="349">
        <f t="shared" si="0"/>
        <v>13.68</v>
      </c>
      <c r="O22" s="62"/>
      <c r="P22" s="62"/>
      <c r="Q22" s="62"/>
    </row>
    <row r="23" spans="2:17" ht="15.75" customHeight="1">
      <c r="B23" s="95" t="s">
        <v>48</v>
      </c>
      <c r="C23" s="102">
        <f>C12*P12</f>
        <v>0</v>
      </c>
      <c r="D23" s="103">
        <f>D12*P12</f>
        <v>0</v>
      </c>
      <c r="E23" s="104">
        <f>AVERAGE(C23:D23)</f>
        <v>0</v>
      </c>
      <c r="F23" s="102">
        <f>F12*P12</f>
        <v>0</v>
      </c>
      <c r="G23" s="103">
        <f>G12*P12</f>
        <v>0</v>
      </c>
      <c r="H23" s="104">
        <f>AVERAGE(F23:G23)</f>
        <v>0</v>
      </c>
      <c r="I23" s="347">
        <f>I12*P12</f>
        <v>18.5</v>
      </c>
      <c r="J23" s="348">
        <f>J12*P12</f>
        <v>18.5</v>
      </c>
      <c r="K23" s="349">
        <f>AVERAGE(I23:J23)</f>
        <v>18.5</v>
      </c>
      <c r="L23" s="347">
        <f>L12*P12</f>
        <v>14.8</v>
      </c>
      <c r="M23" s="348">
        <f>M12*P12</f>
        <v>14.8</v>
      </c>
      <c r="N23" s="349">
        <f t="shared" si="0"/>
        <v>14.8</v>
      </c>
      <c r="O23" s="62"/>
      <c r="P23" s="62"/>
      <c r="Q23" s="62"/>
    </row>
    <row r="24" spans="2:17" ht="15.75" customHeight="1">
      <c r="B24" s="95" t="s">
        <v>49</v>
      </c>
      <c r="C24" s="102">
        <f>C13*P13</f>
        <v>0</v>
      </c>
      <c r="D24" s="103">
        <f>D13*P13</f>
        <v>0</v>
      </c>
      <c r="E24" s="104">
        <f>AVERAGE(C24:D24)</f>
        <v>0</v>
      </c>
      <c r="F24" s="102">
        <f>F13*P13</f>
        <v>0</v>
      </c>
      <c r="G24" s="103">
        <f>G13*P13</f>
        <v>0</v>
      </c>
      <c r="H24" s="104">
        <f>AVERAGE(F24:G24)</f>
        <v>0</v>
      </c>
      <c r="I24" s="347">
        <f>I13*P13</f>
        <v>20.328</v>
      </c>
      <c r="J24" s="348">
        <f>J13*P13</f>
        <v>20.328</v>
      </c>
      <c r="K24" s="349">
        <f>AVERAGE(I24:J24)</f>
        <v>20.328</v>
      </c>
      <c r="L24" s="347">
        <f>L13*P13</f>
        <v>16.632</v>
      </c>
      <c r="M24" s="348">
        <f>M13*P13</f>
        <v>16.632</v>
      </c>
      <c r="N24" s="349">
        <f t="shared" si="0"/>
        <v>16.632</v>
      </c>
      <c r="O24" s="62"/>
      <c r="P24" s="62"/>
      <c r="Q24" s="62"/>
    </row>
    <row r="25" spans="2:17" ht="15.75" customHeight="1" thickBot="1">
      <c r="B25" s="95" t="s">
        <v>50</v>
      </c>
      <c r="C25" s="106">
        <f>C14*P14</f>
        <v>0</v>
      </c>
      <c r="D25" s="107">
        <f>D14*P14</f>
        <v>0</v>
      </c>
      <c r="E25" s="108">
        <f>AVERAGE(C25:D25)</f>
        <v>0</v>
      </c>
      <c r="F25" s="106">
        <f>F14*P14</f>
        <v>0</v>
      </c>
      <c r="G25" s="107">
        <f>G14*P14</f>
        <v>0</v>
      </c>
      <c r="H25" s="108">
        <f>AVERAGE(F25:G25)</f>
        <v>0</v>
      </c>
      <c r="I25" s="353">
        <f>I14*P14</f>
        <v>20.152</v>
      </c>
      <c r="J25" s="354">
        <f>J14*P14</f>
        <v>20.152</v>
      </c>
      <c r="K25" s="355">
        <f>AVERAGE(I25:J25)</f>
        <v>20.152</v>
      </c>
      <c r="L25" s="353">
        <f>L14*P14</f>
        <v>16.488</v>
      </c>
      <c r="M25" s="354">
        <f>M14*P14</f>
        <v>16.488</v>
      </c>
      <c r="N25" s="355">
        <f>AVERAGE(L25:M25)</f>
        <v>16.488</v>
      </c>
      <c r="O25" s="62"/>
      <c r="P25" s="62"/>
      <c r="Q25" s="62"/>
    </row>
    <row r="26" spans="2:17" ht="4.5" customHeight="1">
      <c r="B26" s="62"/>
      <c r="C26" s="71"/>
      <c r="D26" s="7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ht="4.5" customHeight="1">
      <c r="B27" s="62"/>
      <c r="C27" s="71"/>
      <c r="D27" s="7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4.5" customHeight="1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ht="37.5" customHeight="1" thickBot="1">
      <c r="B29" s="62"/>
      <c r="C29" s="811" t="s">
        <v>133</v>
      </c>
      <c r="D29" s="812"/>
      <c r="E29" s="812"/>
      <c r="F29" s="812"/>
      <c r="G29" s="812"/>
      <c r="H29" s="813"/>
      <c r="I29" s="811" t="s">
        <v>134</v>
      </c>
      <c r="J29" s="812"/>
      <c r="K29" s="812"/>
      <c r="L29" s="812"/>
      <c r="M29" s="812"/>
      <c r="N29" s="813"/>
      <c r="O29" s="62"/>
      <c r="P29" s="62"/>
      <c r="Q29" s="62"/>
    </row>
    <row r="30" spans="2:17" ht="6" customHeight="1">
      <c r="B30" s="62"/>
      <c r="C30" s="71"/>
      <c r="D30" s="71"/>
      <c r="E30" s="62"/>
      <c r="F30" s="62"/>
      <c r="G30" s="62"/>
      <c r="H30" s="62"/>
      <c r="I30" s="71"/>
      <c r="J30" s="71"/>
      <c r="K30" s="62"/>
      <c r="L30" s="62"/>
      <c r="M30" s="62"/>
      <c r="N30" s="62"/>
      <c r="O30" s="62"/>
      <c r="P30" s="62"/>
      <c r="Q30" s="62"/>
    </row>
    <row r="31" spans="2:17" ht="5.25" customHeight="1" thickBo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ht="52.5" customHeight="1">
      <c r="B32" s="72"/>
      <c r="C32" s="73" t="s">
        <v>124</v>
      </c>
      <c r="D32" s="74" t="s">
        <v>125</v>
      </c>
      <c r="E32" s="96" t="s">
        <v>126</v>
      </c>
      <c r="F32" s="73" t="s">
        <v>127</v>
      </c>
      <c r="G32" s="74" t="s">
        <v>128</v>
      </c>
      <c r="H32" s="96" t="s">
        <v>129</v>
      </c>
      <c r="I32" s="73" t="s">
        <v>124</v>
      </c>
      <c r="J32" s="74" t="s">
        <v>125</v>
      </c>
      <c r="K32" s="96" t="s">
        <v>126</v>
      </c>
      <c r="L32" s="73" t="s">
        <v>127</v>
      </c>
      <c r="M32" s="74" t="s">
        <v>128</v>
      </c>
      <c r="N32" s="96" t="s">
        <v>129</v>
      </c>
      <c r="O32" s="62"/>
      <c r="P32" s="62"/>
      <c r="Q32" s="62"/>
    </row>
    <row r="33" spans="2:17" ht="15.75" customHeight="1">
      <c r="B33" s="85" t="s">
        <v>46</v>
      </c>
      <c r="C33" s="86"/>
      <c r="D33" s="87"/>
      <c r="E33" s="88"/>
      <c r="F33" s="86"/>
      <c r="G33" s="89"/>
      <c r="H33" s="88"/>
      <c r="I33" s="86"/>
      <c r="J33" s="87"/>
      <c r="K33" s="88"/>
      <c r="L33" s="86"/>
      <c r="M33" s="89"/>
      <c r="N33" s="88"/>
      <c r="O33" s="62"/>
      <c r="P33"/>
      <c r="Q33" s="62"/>
    </row>
    <row r="34" spans="2:17" ht="15.75" customHeight="1">
      <c r="B34" s="95" t="s">
        <v>51</v>
      </c>
      <c r="C34" s="79" t="s">
        <v>123</v>
      </c>
      <c r="D34" s="80" t="s">
        <v>123</v>
      </c>
      <c r="E34" s="97" t="s">
        <v>123</v>
      </c>
      <c r="F34" s="81" t="s">
        <v>123</v>
      </c>
      <c r="G34" s="82" t="s">
        <v>123</v>
      </c>
      <c r="H34" s="97" t="s">
        <v>123</v>
      </c>
      <c r="I34" s="81">
        <v>8</v>
      </c>
      <c r="J34" s="82">
        <v>8</v>
      </c>
      <c r="K34" s="105">
        <f>AVERAGE(I34:J34)</f>
        <v>8</v>
      </c>
      <c r="L34" s="81">
        <v>7</v>
      </c>
      <c r="M34" s="82">
        <v>7</v>
      </c>
      <c r="N34" s="97">
        <f>AVERAGE(L34:M34)</f>
        <v>7</v>
      </c>
      <c r="O34" s="62"/>
      <c r="P34"/>
      <c r="Q34" s="62"/>
    </row>
    <row r="35" spans="2:17" ht="24" customHeight="1">
      <c r="B35" s="95" t="s">
        <v>136</v>
      </c>
      <c r="C35" s="79">
        <v>0</v>
      </c>
      <c r="D35" s="80">
        <v>0</v>
      </c>
      <c r="E35" s="97">
        <f>AVERAGE(C35:D35)</f>
        <v>0</v>
      </c>
      <c r="F35" s="81">
        <v>0</v>
      </c>
      <c r="G35" s="82">
        <v>0</v>
      </c>
      <c r="H35" s="97">
        <f>AVERAGE(F35:G35)</f>
        <v>0</v>
      </c>
      <c r="I35" s="81">
        <v>0</v>
      </c>
      <c r="J35" s="82">
        <v>0</v>
      </c>
      <c r="K35" s="105">
        <f>AVERAGE(I35:J35)</f>
        <v>0</v>
      </c>
      <c r="L35" s="81">
        <v>0</v>
      </c>
      <c r="M35" s="82">
        <v>0</v>
      </c>
      <c r="N35" s="97">
        <f>AVERAGE(L35:M35)</f>
        <v>0</v>
      </c>
      <c r="O35" s="62"/>
      <c r="P35"/>
      <c r="Q35" s="62"/>
    </row>
    <row r="36" spans="2:17" ht="24.75" customHeight="1">
      <c r="B36" s="95" t="s">
        <v>52</v>
      </c>
      <c r="C36" s="79">
        <v>0</v>
      </c>
      <c r="D36" s="80">
        <v>0</v>
      </c>
      <c r="E36" s="97">
        <f>AVERAGE(C36:D36)</f>
        <v>0</v>
      </c>
      <c r="F36" s="81">
        <v>0</v>
      </c>
      <c r="G36" s="82">
        <v>0</v>
      </c>
      <c r="H36" s="97">
        <f>AVERAGE(F36:G36)</f>
        <v>0</v>
      </c>
      <c r="I36" s="81">
        <v>10</v>
      </c>
      <c r="J36" s="82">
        <v>9</v>
      </c>
      <c r="K36" s="105">
        <v>9</v>
      </c>
      <c r="L36" s="81">
        <v>8</v>
      </c>
      <c r="M36" s="82">
        <v>8</v>
      </c>
      <c r="N36" s="97">
        <f>AVERAGE(L36:M36)</f>
        <v>8</v>
      </c>
      <c r="O36" s="62"/>
      <c r="P36"/>
      <c r="Q36" s="62"/>
    </row>
    <row r="37" spans="2:17" ht="15.75" customHeight="1">
      <c r="B37" s="85" t="s">
        <v>53</v>
      </c>
      <c r="C37" s="86"/>
      <c r="D37" s="89"/>
      <c r="E37" s="90"/>
      <c r="F37" s="86"/>
      <c r="G37" s="87"/>
      <c r="H37" s="90"/>
      <c r="I37" s="86"/>
      <c r="J37" s="89"/>
      <c r="K37" s="88"/>
      <c r="L37" s="86"/>
      <c r="M37" s="89"/>
      <c r="N37" s="90"/>
      <c r="O37" s="62"/>
      <c r="P37"/>
      <c r="Q37" s="62"/>
    </row>
    <row r="38" spans="2:17" ht="15.75" customHeight="1">
      <c r="B38" s="95" t="s">
        <v>115</v>
      </c>
      <c r="C38" s="76" t="s">
        <v>123</v>
      </c>
      <c r="D38" s="77" t="s">
        <v>123</v>
      </c>
      <c r="E38" s="109" t="s">
        <v>123</v>
      </c>
      <c r="F38" s="84" t="s">
        <v>123</v>
      </c>
      <c r="G38" s="77" t="s">
        <v>123</v>
      </c>
      <c r="H38" s="109" t="s">
        <v>123</v>
      </c>
      <c r="I38" s="76" t="s">
        <v>123</v>
      </c>
      <c r="J38" s="77" t="s">
        <v>123</v>
      </c>
      <c r="K38" s="109" t="s">
        <v>123</v>
      </c>
      <c r="L38" s="81">
        <v>1</v>
      </c>
      <c r="M38" s="82">
        <v>1.5</v>
      </c>
      <c r="N38" s="97">
        <f aca="true" t="shared" si="1" ref="N38:N43">AVERAGE(L38:M38)</f>
        <v>1.25</v>
      </c>
      <c r="O38" s="62"/>
      <c r="P38"/>
      <c r="Q38" s="62"/>
    </row>
    <row r="39" spans="2:17" ht="42" customHeight="1">
      <c r="B39" s="95" t="s">
        <v>181</v>
      </c>
      <c r="C39" s="76" t="s">
        <v>123</v>
      </c>
      <c r="D39" s="77" t="s">
        <v>123</v>
      </c>
      <c r="E39" s="109" t="s">
        <v>123</v>
      </c>
      <c r="F39" s="76" t="s">
        <v>123</v>
      </c>
      <c r="G39" s="77" t="s">
        <v>123</v>
      </c>
      <c r="H39" s="109" t="s">
        <v>123</v>
      </c>
      <c r="I39" s="76" t="s">
        <v>123</v>
      </c>
      <c r="J39" s="77" t="s">
        <v>123</v>
      </c>
      <c r="K39" s="109" t="s">
        <v>123</v>
      </c>
      <c r="L39" s="81">
        <v>1</v>
      </c>
      <c r="M39" s="82">
        <v>1.5</v>
      </c>
      <c r="N39" s="97">
        <f t="shared" si="1"/>
        <v>1.25</v>
      </c>
      <c r="O39" s="62"/>
      <c r="P39"/>
      <c r="Q39" s="62"/>
    </row>
    <row r="40" spans="2:17" ht="37.5" customHeight="1">
      <c r="B40" s="95" t="s">
        <v>182</v>
      </c>
      <c r="C40" s="76" t="s">
        <v>123</v>
      </c>
      <c r="D40" s="77" t="s">
        <v>123</v>
      </c>
      <c r="E40" s="109" t="s">
        <v>123</v>
      </c>
      <c r="F40" s="84" t="s">
        <v>123</v>
      </c>
      <c r="G40" s="77" t="s">
        <v>123</v>
      </c>
      <c r="H40" s="109" t="s">
        <v>123</v>
      </c>
      <c r="I40" s="76" t="s">
        <v>123</v>
      </c>
      <c r="J40" s="77" t="s">
        <v>123</v>
      </c>
      <c r="K40" s="109" t="s">
        <v>123</v>
      </c>
      <c r="L40" s="81">
        <v>0.6</v>
      </c>
      <c r="M40" s="82">
        <v>0.7</v>
      </c>
      <c r="N40" s="97">
        <f t="shared" si="1"/>
        <v>0.6499999999999999</v>
      </c>
      <c r="O40" s="62"/>
      <c r="P40"/>
      <c r="Q40" s="62"/>
    </row>
    <row r="41" spans="2:17" ht="27.75" customHeight="1">
      <c r="B41" s="95" t="s">
        <v>183</v>
      </c>
      <c r="C41" s="76" t="s">
        <v>123</v>
      </c>
      <c r="D41" s="77" t="s">
        <v>123</v>
      </c>
      <c r="E41" s="109" t="s">
        <v>123</v>
      </c>
      <c r="F41" s="84" t="s">
        <v>123</v>
      </c>
      <c r="G41" s="77" t="s">
        <v>123</v>
      </c>
      <c r="H41" s="109" t="s">
        <v>123</v>
      </c>
      <c r="I41" s="76" t="s">
        <v>123</v>
      </c>
      <c r="J41" s="77" t="s">
        <v>123</v>
      </c>
      <c r="K41" s="109" t="s">
        <v>123</v>
      </c>
      <c r="L41" s="81">
        <v>4</v>
      </c>
      <c r="M41" s="82">
        <v>8</v>
      </c>
      <c r="N41" s="97">
        <f t="shared" si="1"/>
        <v>6</v>
      </c>
      <c r="O41" s="62"/>
      <c r="P41"/>
      <c r="Q41" s="62"/>
    </row>
    <row r="42" spans="2:17" ht="30.75" customHeight="1">
      <c r="B42" s="95" t="s">
        <v>14</v>
      </c>
      <c r="C42" s="76" t="s">
        <v>123</v>
      </c>
      <c r="D42" s="77" t="s">
        <v>123</v>
      </c>
      <c r="E42" s="109" t="s">
        <v>123</v>
      </c>
      <c r="F42" s="84" t="s">
        <v>123</v>
      </c>
      <c r="G42" s="77" t="s">
        <v>123</v>
      </c>
      <c r="H42" s="109" t="s">
        <v>123</v>
      </c>
      <c r="I42" s="76" t="s">
        <v>123</v>
      </c>
      <c r="J42" s="77" t="s">
        <v>123</v>
      </c>
      <c r="K42" s="109" t="s">
        <v>123</v>
      </c>
      <c r="L42" s="81">
        <v>2</v>
      </c>
      <c r="M42" s="82">
        <v>2.5</v>
      </c>
      <c r="N42" s="97">
        <f t="shared" si="1"/>
        <v>2.25</v>
      </c>
      <c r="O42" s="62"/>
      <c r="P42"/>
      <c r="Q42" s="62"/>
    </row>
    <row r="43" spans="2:17" ht="25.5" customHeight="1">
      <c r="B43" s="281" t="s">
        <v>143</v>
      </c>
      <c r="C43" s="68" t="s">
        <v>123</v>
      </c>
      <c r="D43" s="67" t="s">
        <v>123</v>
      </c>
      <c r="E43" s="110" t="s">
        <v>123</v>
      </c>
      <c r="F43" s="111" t="s">
        <v>123</v>
      </c>
      <c r="G43" s="69" t="s">
        <v>123</v>
      </c>
      <c r="H43" s="112" t="s">
        <v>123</v>
      </c>
      <c r="I43" s="68" t="s">
        <v>123</v>
      </c>
      <c r="J43" s="67" t="s">
        <v>123</v>
      </c>
      <c r="K43" s="110" t="s">
        <v>123</v>
      </c>
      <c r="L43" s="111">
        <v>0.2</v>
      </c>
      <c r="M43" s="69">
        <v>0.2</v>
      </c>
      <c r="N43" s="112">
        <f t="shared" si="1"/>
        <v>0.2</v>
      </c>
      <c r="O43" s="62"/>
      <c r="P43"/>
      <c r="Q43" s="62"/>
    </row>
    <row r="44" spans="15:17" ht="30" customHeight="1">
      <c r="O44" s="62"/>
      <c r="P44"/>
      <c r="Q44" s="62"/>
    </row>
    <row r="45" spans="2:17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 s="62"/>
      <c r="P45"/>
      <c r="Q45" s="62"/>
    </row>
    <row r="46" spans="2:17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 s="62"/>
      <c r="P46"/>
      <c r="Q46" s="62"/>
    </row>
    <row r="47" spans="2:17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 s="62"/>
      <c r="P47"/>
      <c r="Q47" s="62"/>
    </row>
    <row r="48" spans="2:17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 s="62"/>
      <c r="P48"/>
      <c r="Q48" s="62"/>
    </row>
    <row r="49" spans="15:17" ht="15.75" customHeight="1">
      <c r="O49" s="62"/>
      <c r="P49"/>
      <c r="Q49" s="62"/>
    </row>
    <row r="50" spans="2:17" ht="15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 s="62"/>
      <c r="P50"/>
      <c r="Q50" s="62"/>
    </row>
    <row r="51" spans="15:17" ht="15.75" customHeight="1">
      <c r="O51" s="62"/>
      <c r="P51"/>
      <c r="Q51" s="62"/>
    </row>
    <row r="52" spans="15:17" ht="15.75" customHeight="1">
      <c r="O52" s="62"/>
      <c r="P52"/>
      <c r="Q52" s="62"/>
    </row>
    <row r="53" spans="15:17" ht="15.75" customHeight="1">
      <c r="O53" s="62"/>
      <c r="P53"/>
      <c r="Q53" s="62"/>
    </row>
    <row r="54" spans="15:17" ht="15.75" customHeight="1">
      <c r="O54" s="62"/>
      <c r="P54"/>
      <c r="Q54" s="62"/>
    </row>
    <row r="55" spans="15:17" ht="15.75" customHeight="1">
      <c r="O55" s="62"/>
      <c r="P55"/>
      <c r="Q55" s="62"/>
    </row>
    <row r="56" spans="15:17" ht="12.75">
      <c r="O56" s="62"/>
      <c r="P56"/>
      <c r="Q56" s="62"/>
    </row>
    <row r="57" spans="15:17" ht="12.75">
      <c r="O57" s="62"/>
      <c r="P57"/>
      <c r="Q57" s="62"/>
    </row>
    <row r="58" spans="15:17" ht="12.75">
      <c r="O58" s="62"/>
      <c r="P58"/>
      <c r="Q58" s="62"/>
    </row>
    <row r="59" spans="15:17" ht="12.75">
      <c r="O59" s="62"/>
      <c r="P59"/>
      <c r="Q59" s="62"/>
    </row>
    <row r="60" spans="15:17" ht="12.75">
      <c r="O60" s="62"/>
      <c r="P60"/>
      <c r="Q60" s="62"/>
    </row>
    <row r="61" spans="15:17" ht="12.75">
      <c r="O61" s="62"/>
      <c r="P61"/>
      <c r="Q61" s="62"/>
    </row>
    <row r="62" spans="15:17" ht="12.75">
      <c r="O62" s="62"/>
      <c r="P62"/>
      <c r="Q62" s="62"/>
    </row>
    <row r="63" spans="15:17" ht="12.75">
      <c r="O63" s="62"/>
      <c r="P63"/>
      <c r="Q63" s="62"/>
    </row>
    <row r="64" spans="2:17" ht="12.75">
      <c r="B64" s="62"/>
      <c r="C64" s="71"/>
      <c r="D64" s="7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>
      <c r="B65" s="62"/>
      <c r="C65" s="71"/>
      <c r="D65" s="7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ht="12.75">
      <c r="B66" s="62"/>
      <c r="C66" s="71"/>
      <c r="D66" s="71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ht="12.75">
      <c r="B67" s="62"/>
      <c r="C67" s="71"/>
      <c r="D67" s="7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2.75">
      <c r="B68" s="62"/>
      <c r="C68" s="71"/>
      <c r="D68" s="7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2.75">
      <c r="B69" s="62"/>
      <c r="C69" s="71"/>
      <c r="D69" s="7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ht="12.75">
      <c r="B70" s="62"/>
      <c r="C70" s="71"/>
      <c r="D70" s="7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ht="12.75">
      <c r="B71" s="62"/>
      <c r="C71" s="71"/>
      <c r="D71" s="71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ht="12.75">
      <c r="B72" s="62"/>
      <c r="C72" s="71"/>
      <c r="D72" s="71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ht="12.75">
      <c r="B73" s="62"/>
      <c r="C73" s="71"/>
      <c r="D73" s="7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ht="12.75">
      <c r="B74" s="62"/>
      <c r="C74" s="71"/>
      <c r="D74" s="71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ht="12.75">
      <c r="B75" s="62"/>
      <c r="C75" s="71"/>
      <c r="D75" s="7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ht="12.75">
      <c r="B76" s="62"/>
      <c r="C76" s="71"/>
      <c r="D76" s="7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ht="12.75">
      <c r="B77" s="62"/>
      <c r="C77" s="71"/>
      <c r="D77" s="71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2.75">
      <c r="B78" s="62"/>
      <c r="C78" s="71"/>
      <c r="D78" s="71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2.75">
      <c r="B79" s="62"/>
      <c r="C79" s="71"/>
      <c r="D79" s="7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ht="12.75">
      <c r="B80" s="62"/>
      <c r="C80" s="71"/>
      <c r="D80" s="71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12.75">
      <c r="B81" s="62"/>
      <c r="C81" s="71"/>
      <c r="D81" s="71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ht="12.75">
      <c r="B82" s="62"/>
      <c r="C82" s="71"/>
      <c r="D82" s="7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ht="12.75">
      <c r="B83" s="62"/>
      <c r="C83" s="71"/>
      <c r="D83" s="71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2.75">
      <c r="B84" s="62"/>
      <c r="C84" s="71"/>
      <c r="D84" s="71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2.75">
      <c r="B85" s="62"/>
      <c r="C85" s="71"/>
      <c r="D85" s="7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2.75">
      <c r="B86" s="62"/>
      <c r="C86" s="71"/>
      <c r="D86" s="71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ht="12.75">
      <c r="B87" s="62"/>
      <c r="C87" s="71"/>
      <c r="D87" s="71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ht="12.75">
      <c r="B88" s="62"/>
      <c r="C88" s="71"/>
      <c r="D88" s="71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ht="12.75">
      <c r="B89" s="62"/>
      <c r="C89" s="71"/>
      <c r="D89" s="71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ht="12.75">
      <c r="B90" s="62"/>
      <c r="C90" s="71"/>
      <c r="D90" s="7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ht="12.75">
      <c r="B91" s="62"/>
      <c r="C91" s="71"/>
      <c r="D91" s="71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ht="12.75">
      <c r="B92" s="62"/>
      <c r="C92" s="71"/>
      <c r="D92" s="71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ht="12.75">
      <c r="B93" s="62"/>
      <c r="C93" s="71"/>
      <c r="D93" s="71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2.75">
      <c r="B94" s="62"/>
      <c r="C94" s="71"/>
      <c r="D94" s="71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ht="12.75">
      <c r="B95" s="62"/>
      <c r="C95" s="71"/>
      <c r="D95" s="7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2.75">
      <c r="B96" s="62"/>
      <c r="C96" s="71"/>
      <c r="D96" s="71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2.75">
      <c r="B97" s="62"/>
      <c r="C97" s="71"/>
      <c r="D97" s="7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ht="12.75">
      <c r="B98" s="62"/>
      <c r="C98" s="71"/>
      <c r="D98" s="71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ht="12.75">
      <c r="B99" s="62"/>
      <c r="C99" s="71"/>
      <c r="D99" s="7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ht="12.75">
      <c r="B100" s="62"/>
      <c r="C100" s="71"/>
      <c r="D100" s="71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</sheetData>
  <mergeCells count="4">
    <mergeCell ref="C1:H1"/>
    <mergeCell ref="I1:N1"/>
    <mergeCell ref="C29:H29"/>
    <mergeCell ref="I29:N29"/>
  </mergeCells>
  <printOptions/>
  <pageMargins left="0.75" right="0.75" top="1" bottom="1" header="0.5" footer="0.5"/>
  <pageSetup orientation="portrait" paperSize="9" scale="77" r:id="rId2"/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CE124"/>
  <sheetViews>
    <sheetView zoomScale="80" zoomScaleNormal="80" workbookViewId="0" topLeftCell="A1">
      <pane xSplit="4" ySplit="7" topLeftCell="AA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Q5" sqref="AQ5"/>
    </sheetView>
  </sheetViews>
  <sheetFormatPr defaultColWidth="11.00390625" defaultRowHeight="12.75"/>
  <cols>
    <col min="1" max="1" width="2.125" style="2" customWidth="1"/>
    <col min="2" max="2" width="12.875" style="2" customWidth="1"/>
    <col min="3" max="3" width="5.125" style="2" customWidth="1"/>
    <col min="4" max="4" width="9.375" style="2" customWidth="1"/>
    <col min="5" max="5" width="11.875" style="2" customWidth="1"/>
    <col min="6" max="6" width="11.25390625" style="2" customWidth="1"/>
    <col min="7" max="7" width="8.375" style="2" customWidth="1"/>
    <col min="8" max="8" width="12.25390625" style="2" customWidth="1"/>
    <col min="9" max="9" width="8.50390625" style="2" customWidth="1"/>
    <col min="10" max="10" width="13.125" style="2" customWidth="1"/>
    <col min="11" max="11" width="10.125" style="2" customWidth="1"/>
    <col min="12" max="12" width="10.875" style="2" customWidth="1"/>
    <col min="13" max="13" width="10.25390625" style="2" customWidth="1"/>
    <col min="14" max="14" width="10.125" style="2" customWidth="1"/>
    <col min="15" max="15" width="8.25390625" style="2" customWidth="1"/>
    <col min="16" max="16" width="8.50390625" style="46" customWidth="1"/>
    <col min="17" max="17" width="8.625" style="2" customWidth="1"/>
    <col min="18" max="18" width="10.125" style="2" customWidth="1"/>
    <col min="19" max="19" width="10.875" style="2" customWidth="1"/>
    <col min="20" max="20" width="9.75390625" style="2" customWidth="1"/>
    <col min="21" max="21" width="10.50390625" style="2" customWidth="1"/>
    <col min="22" max="22" width="9.75390625" style="2" customWidth="1"/>
    <col min="23" max="23" width="10.75390625" style="2" customWidth="1"/>
    <col min="24" max="24" width="9.875" style="2" customWidth="1"/>
    <col min="25" max="25" width="8.625" style="2" customWidth="1"/>
    <col min="26" max="27" width="10.75390625" style="2" customWidth="1"/>
    <col min="28" max="28" width="11.25390625" style="2" customWidth="1"/>
    <col min="29" max="29" width="10.25390625" style="2" customWidth="1"/>
    <col min="30" max="30" width="10.25390625" style="48" customWidth="1"/>
    <col min="31" max="31" width="10.00390625" style="2" customWidth="1"/>
    <col min="32" max="32" width="9.50390625" style="2" customWidth="1"/>
    <col min="33" max="33" width="7.625" style="2" customWidth="1"/>
    <col min="34" max="34" width="8.25390625" style="2" customWidth="1"/>
    <col min="35" max="35" width="9.625" style="2" customWidth="1"/>
    <col min="36" max="37" width="8.75390625" style="2" customWidth="1"/>
    <col min="38" max="38" width="8.375" style="2" customWidth="1"/>
    <col min="39" max="39" width="8.25390625" style="2" customWidth="1"/>
    <col min="40" max="40" width="8.50390625" style="2" customWidth="1"/>
    <col min="41" max="41" width="7.75390625" style="2" customWidth="1"/>
    <col min="42" max="42" width="8.125" style="2" customWidth="1"/>
    <col min="43" max="43" width="9.50390625" style="2" customWidth="1"/>
    <col min="44" max="45" width="9.375" style="2" customWidth="1"/>
    <col min="46" max="46" width="9.125" style="2" customWidth="1"/>
    <col min="47" max="49" width="9.00390625" style="2" customWidth="1"/>
    <col min="50" max="50" width="9.125" style="2" customWidth="1"/>
    <col min="51" max="51" width="10.875" style="2" customWidth="1"/>
    <col min="52" max="52" width="11.125" style="2" customWidth="1"/>
    <col min="53" max="53" width="10.875" style="2" customWidth="1"/>
    <col min="54" max="55" width="11.875" style="2" customWidth="1"/>
    <col min="56" max="56" width="11.25390625" style="2" customWidth="1"/>
    <col min="57" max="59" width="10.25390625" style="2" customWidth="1"/>
    <col min="60" max="60" width="10.75390625" style="2" customWidth="1"/>
    <col min="61" max="61" width="11.25390625" style="2" customWidth="1"/>
    <col min="62" max="62" width="11.875" style="2" customWidth="1"/>
    <col min="63" max="64" width="10.75390625" style="2" customWidth="1"/>
    <col min="65" max="65" width="11.50390625" style="2" customWidth="1"/>
    <col min="66" max="66" width="12.375" style="2" customWidth="1"/>
    <col min="67" max="67" width="12.75390625" style="2" customWidth="1"/>
    <col min="68" max="77" width="10.75390625" style="2" customWidth="1"/>
    <col min="78" max="78" width="11.875" style="2" customWidth="1"/>
    <col min="79" max="81" width="10.75390625" style="2" customWidth="1"/>
    <col min="82" max="82" width="12.875" style="2" customWidth="1"/>
    <col min="83" max="83" width="12.75390625" style="2" customWidth="1"/>
    <col min="84" max="84" width="11.75390625" style="2" customWidth="1"/>
    <col min="85" max="16384" width="10.75390625" style="2" customWidth="1"/>
  </cols>
  <sheetData>
    <row r="1" spans="4:67" ht="20.25" customHeight="1" thickBot="1">
      <c r="D1" s="828" t="s">
        <v>96</v>
      </c>
      <c r="E1" s="474"/>
      <c r="G1" s="43"/>
      <c r="H1" s="828" t="s">
        <v>140</v>
      </c>
      <c r="J1" s="828" t="s">
        <v>139</v>
      </c>
      <c r="N1" s="852" t="s">
        <v>103</v>
      </c>
      <c r="O1" s="853"/>
      <c r="P1" s="853"/>
      <c r="Q1" s="853"/>
      <c r="R1" s="853"/>
      <c r="S1" s="853"/>
      <c r="T1" s="854"/>
      <c r="U1" s="828" t="s">
        <v>189</v>
      </c>
      <c r="W1" s="46"/>
      <c r="Z1" s="828" t="s">
        <v>135</v>
      </c>
      <c r="AB1" s="828" t="s">
        <v>190</v>
      </c>
      <c r="AD1" s="828" t="s">
        <v>186</v>
      </c>
      <c r="AF1" s="828" t="s">
        <v>166</v>
      </c>
      <c r="AG1" s="114"/>
      <c r="AH1" s="114"/>
      <c r="AI1" s="114"/>
      <c r="AJ1" s="822" t="s">
        <v>207</v>
      </c>
      <c r="AK1" s="823"/>
      <c r="AL1" s="823"/>
      <c r="AM1" s="823"/>
      <c r="AN1" s="823"/>
      <c r="AO1" s="823"/>
      <c r="AP1" s="823"/>
      <c r="AQ1" s="823"/>
      <c r="AR1" s="823"/>
      <c r="AS1" s="823"/>
      <c r="AT1" s="823"/>
      <c r="AU1" s="823"/>
      <c r="AV1" s="824"/>
      <c r="AZ1" s="833" t="s">
        <v>192</v>
      </c>
      <c r="BA1" s="834"/>
      <c r="BB1" s="834"/>
      <c r="BC1" s="834"/>
      <c r="BD1" s="834"/>
      <c r="BE1" s="834"/>
      <c r="BF1" s="834"/>
      <c r="BG1" s="834"/>
      <c r="BH1" s="834"/>
      <c r="BI1" s="834"/>
      <c r="BJ1" s="834"/>
      <c r="BK1" s="834"/>
      <c r="BL1" s="834"/>
      <c r="BM1" s="834"/>
      <c r="BN1" s="835"/>
      <c r="BO1" s="463"/>
    </row>
    <row r="2" spans="4:67" ht="13.5" customHeight="1" thickBot="1">
      <c r="D2" s="829"/>
      <c r="E2" s="474"/>
      <c r="G2" s="43"/>
      <c r="H2" s="829"/>
      <c r="J2" s="829"/>
      <c r="N2" s="782" t="s">
        <v>113</v>
      </c>
      <c r="O2" s="51" t="s">
        <v>62</v>
      </c>
      <c r="P2" s="51" t="s">
        <v>62</v>
      </c>
      <c r="Q2" s="51" t="s">
        <v>62</v>
      </c>
      <c r="R2" s="51" t="s">
        <v>62</v>
      </c>
      <c r="S2" s="51" t="s">
        <v>62</v>
      </c>
      <c r="T2" s="51" t="s">
        <v>62</v>
      </c>
      <c r="U2" s="829"/>
      <c r="W2" s="46"/>
      <c r="Z2" s="829"/>
      <c r="AB2" s="829"/>
      <c r="AD2" s="829"/>
      <c r="AF2" s="829"/>
      <c r="AG2" s="114"/>
      <c r="AH2" s="114"/>
      <c r="AI2" s="114"/>
      <c r="AJ2" s="825"/>
      <c r="AK2" s="826"/>
      <c r="AL2" s="826"/>
      <c r="AM2" s="826"/>
      <c r="AN2" s="826"/>
      <c r="AO2" s="826"/>
      <c r="AP2" s="826"/>
      <c r="AQ2" s="826"/>
      <c r="AR2" s="826"/>
      <c r="AS2" s="826"/>
      <c r="AT2" s="826"/>
      <c r="AU2" s="826"/>
      <c r="AV2" s="827"/>
      <c r="AZ2" s="836"/>
      <c r="BA2" s="837"/>
      <c r="BB2" s="837"/>
      <c r="BC2" s="837"/>
      <c r="BD2" s="837"/>
      <c r="BE2" s="837"/>
      <c r="BF2" s="837"/>
      <c r="BG2" s="837"/>
      <c r="BH2" s="837"/>
      <c r="BI2" s="837"/>
      <c r="BJ2" s="837"/>
      <c r="BK2" s="837"/>
      <c r="BL2" s="837"/>
      <c r="BM2" s="837"/>
      <c r="BN2" s="838"/>
      <c r="BO2" s="463"/>
    </row>
    <row r="3" spans="4:67" ht="13.5" thickBot="1">
      <c r="D3" s="829"/>
      <c r="E3" s="474"/>
      <c r="H3" s="829"/>
      <c r="J3" s="829"/>
      <c r="N3" s="64">
        <f>O3+P3+Q3+R3+S3+T3</f>
        <v>1</v>
      </c>
      <c r="O3" s="783">
        <v>0</v>
      </c>
      <c r="P3" s="61">
        <v>0</v>
      </c>
      <c r="Q3" s="61">
        <v>0</v>
      </c>
      <c r="R3" s="61"/>
      <c r="S3" s="61"/>
      <c r="T3" s="784">
        <v>1</v>
      </c>
      <c r="U3" s="829"/>
      <c r="W3" s="46"/>
      <c r="Z3" s="829"/>
      <c r="AB3" s="829"/>
      <c r="AD3" s="829"/>
      <c r="AF3" s="829"/>
      <c r="AG3" s="59"/>
      <c r="AZ3" s="839"/>
      <c r="BA3" s="840"/>
      <c r="BB3" s="840"/>
      <c r="BC3" s="840"/>
      <c r="BD3" s="840"/>
      <c r="BE3" s="840"/>
      <c r="BF3" s="840"/>
      <c r="BG3" s="840"/>
      <c r="BH3" s="840"/>
      <c r="BI3" s="840"/>
      <c r="BJ3" s="840"/>
      <c r="BK3" s="840"/>
      <c r="BL3" s="840"/>
      <c r="BM3" s="840"/>
      <c r="BN3" s="841"/>
      <c r="BO3" s="463"/>
    </row>
    <row r="4" spans="4:33" ht="19.5" customHeight="1">
      <c r="D4" s="829"/>
      <c r="E4" s="474"/>
      <c r="H4" s="829"/>
      <c r="J4" s="829"/>
      <c r="O4" s="58"/>
      <c r="P4" s="58"/>
      <c r="Q4" s="58"/>
      <c r="R4" s="58"/>
      <c r="S4" s="58"/>
      <c r="T4" s="58"/>
      <c r="U4" s="829"/>
      <c r="W4" s="46"/>
      <c r="Z4" s="829"/>
      <c r="AB4" s="829"/>
      <c r="AD4" s="829"/>
      <c r="AF4" s="829"/>
      <c r="AG4" s="48"/>
    </row>
    <row r="5" spans="4:62" ht="31.5" customHeight="1" thickBot="1">
      <c r="D5" s="829"/>
      <c r="E5" s="474"/>
      <c r="H5" s="829"/>
      <c r="J5" s="829"/>
      <c r="O5" s="65"/>
      <c r="P5" s="65"/>
      <c r="Q5" s="65"/>
      <c r="R5" s="65"/>
      <c r="S5" s="65"/>
      <c r="T5" s="60"/>
      <c r="U5" s="829"/>
      <c r="W5" s="46"/>
      <c r="Z5" s="829"/>
      <c r="AB5" s="829"/>
      <c r="AC5" s="50"/>
      <c r="AD5" s="829"/>
      <c r="AF5" s="848"/>
      <c r="AG5" s="48"/>
      <c r="AN5" s="41"/>
      <c r="AO5" s="41"/>
      <c r="AP5" s="41"/>
      <c r="AQ5" s="41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2:82" s="54" customFormat="1" ht="29.25" customHeight="1" thickBot="1">
      <c r="B6" s="849" t="s">
        <v>108</v>
      </c>
      <c r="C6" s="850"/>
      <c r="D6" s="850"/>
      <c r="E6" s="851"/>
      <c r="F6" s="855" t="s">
        <v>209</v>
      </c>
      <c r="G6" s="855"/>
      <c r="H6" s="855"/>
      <c r="I6" s="856"/>
      <c r="J6" s="857" t="s">
        <v>208</v>
      </c>
      <c r="K6" s="858"/>
      <c r="L6" s="858"/>
      <c r="M6" s="859"/>
      <c r="N6" s="860" t="s">
        <v>255</v>
      </c>
      <c r="O6" s="861"/>
      <c r="P6" s="861"/>
      <c r="Q6" s="861"/>
      <c r="R6" s="861"/>
      <c r="S6" s="861"/>
      <c r="T6" s="862"/>
      <c r="U6" s="842" t="s">
        <v>256</v>
      </c>
      <c r="V6" s="843"/>
      <c r="W6" s="843"/>
      <c r="X6" s="843"/>
      <c r="Y6" s="843"/>
      <c r="Z6" s="843"/>
      <c r="AA6" s="843"/>
      <c r="AB6" s="843"/>
      <c r="AC6" s="843"/>
      <c r="AD6" s="843"/>
      <c r="AE6" s="844"/>
      <c r="AF6" s="845" t="s">
        <v>257</v>
      </c>
      <c r="AG6" s="846"/>
      <c r="AH6" s="846"/>
      <c r="AI6" s="846"/>
      <c r="AJ6" s="846"/>
      <c r="AK6" s="846"/>
      <c r="AL6" s="846"/>
      <c r="AM6" s="846"/>
      <c r="AN6" s="846"/>
      <c r="AO6" s="846"/>
      <c r="AP6" s="846"/>
      <c r="AQ6" s="846"/>
      <c r="AR6" s="846"/>
      <c r="AS6" s="846"/>
      <c r="AT6" s="846"/>
      <c r="AU6" s="846"/>
      <c r="AV6" s="846"/>
      <c r="AW6" s="846"/>
      <c r="AX6" s="846"/>
      <c r="AY6" s="847"/>
      <c r="AZ6" s="830" t="s">
        <v>210</v>
      </c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2"/>
      <c r="BO6" s="814" t="s">
        <v>116</v>
      </c>
      <c r="BP6" s="815"/>
      <c r="BQ6" s="815"/>
      <c r="BR6" s="815"/>
      <c r="BS6" s="815"/>
      <c r="BT6" s="815"/>
      <c r="BU6" s="815"/>
      <c r="BV6" s="815"/>
      <c r="BW6" s="815"/>
      <c r="BX6" s="815"/>
      <c r="BY6" s="815"/>
      <c r="BZ6" s="815"/>
      <c r="CA6" s="815"/>
      <c r="CB6" s="815"/>
      <c r="CC6" s="815"/>
      <c r="CD6" s="816"/>
    </row>
    <row r="7" spans="2:82" ht="79.5" customHeight="1" thickBot="1">
      <c r="B7" s="53"/>
      <c r="C7" s="138"/>
      <c r="D7" s="139" t="s">
        <v>26</v>
      </c>
      <c r="E7" s="473" t="s">
        <v>254</v>
      </c>
      <c r="F7" s="121" t="s">
        <v>141</v>
      </c>
      <c r="G7" s="141" t="s">
        <v>106</v>
      </c>
      <c r="H7" s="139" t="s">
        <v>29</v>
      </c>
      <c r="I7" s="150" t="s">
        <v>107</v>
      </c>
      <c r="J7" s="139" t="s">
        <v>27</v>
      </c>
      <c r="K7" s="145" t="s">
        <v>28</v>
      </c>
      <c r="L7" s="117" t="s">
        <v>142</v>
      </c>
      <c r="M7" s="482" t="s">
        <v>30</v>
      </c>
      <c r="N7" s="481" t="s">
        <v>105</v>
      </c>
      <c r="O7" s="500" t="s">
        <v>111</v>
      </c>
      <c r="P7" s="500" t="s">
        <v>97</v>
      </c>
      <c r="Q7" s="500" t="s">
        <v>112</v>
      </c>
      <c r="R7" s="501" t="s">
        <v>177</v>
      </c>
      <c r="S7" s="502" t="s">
        <v>98</v>
      </c>
      <c r="T7" s="503" t="s">
        <v>114</v>
      </c>
      <c r="U7" s="149" t="s">
        <v>93</v>
      </c>
      <c r="V7" s="147" t="s">
        <v>94</v>
      </c>
      <c r="W7" s="134" t="s">
        <v>173</v>
      </c>
      <c r="X7" s="133" t="s">
        <v>110</v>
      </c>
      <c r="Y7" s="156" t="s">
        <v>109</v>
      </c>
      <c r="Z7" s="155" t="s">
        <v>137</v>
      </c>
      <c r="AA7" s="148" t="s">
        <v>138</v>
      </c>
      <c r="AB7" s="149" t="s">
        <v>258</v>
      </c>
      <c r="AC7" s="289" t="s">
        <v>95</v>
      </c>
      <c r="AD7" s="139" t="s">
        <v>187</v>
      </c>
      <c r="AE7" s="294" t="s">
        <v>188</v>
      </c>
      <c r="AF7" s="504" t="s">
        <v>160</v>
      </c>
      <c r="AG7" s="505" t="s">
        <v>161</v>
      </c>
      <c r="AH7" s="506" t="s">
        <v>162</v>
      </c>
      <c r="AI7" s="507" t="s">
        <v>163</v>
      </c>
      <c r="AJ7" s="139" t="s">
        <v>156</v>
      </c>
      <c r="AK7" s="505" t="s">
        <v>157</v>
      </c>
      <c r="AL7" s="506" t="s">
        <v>158</v>
      </c>
      <c r="AM7" s="507" t="s">
        <v>159</v>
      </c>
      <c r="AN7" s="139" t="s">
        <v>167</v>
      </c>
      <c r="AO7" s="505" t="s">
        <v>164</v>
      </c>
      <c r="AP7" s="506" t="s">
        <v>165</v>
      </c>
      <c r="AQ7" s="507" t="s">
        <v>168</v>
      </c>
      <c r="AR7" s="139" t="s">
        <v>144</v>
      </c>
      <c r="AS7" s="505" t="s">
        <v>147</v>
      </c>
      <c r="AT7" s="506" t="s">
        <v>145</v>
      </c>
      <c r="AU7" s="507" t="s">
        <v>148</v>
      </c>
      <c r="AV7" s="139" t="s">
        <v>146</v>
      </c>
      <c r="AW7" s="508" t="s">
        <v>149</v>
      </c>
      <c r="AX7" s="506" t="s">
        <v>151</v>
      </c>
      <c r="AY7" s="509" t="s">
        <v>150</v>
      </c>
      <c r="AZ7" s="510" t="s">
        <v>193</v>
      </c>
      <c r="BA7" s="511" t="s">
        <v>194</v>
      </c>
      <c r="BB7" s="511" t="s">
        <v>195</v>
      </c>
      <c r="BC7" s="511" t="s">
        <v>196</v>
      </c>
      <c r="BD7" s="511" t="s">
        <v>197</v>
      </c>
      <c r="BE7" s="511" t="s">
        <v>198</v>
      </c>
      <c r="BF7" s="512" t="s">
        <v>199</v>
      </c>
      <c r="BG7" s="512" t="s">
        <v>200</v>
      </c>
      <c r="BH7" s="512" t="s">
        <v>201</v>
      </c>
      <c r="BI7" s="512" t="s">
        <v>203</v>
      </c>
      <c r="BJ7" s="512" t="s">
        <v>202</v>
      </c>
      <c r="BK7" s="512" t="s">
        <v>205</v>
      </c>
      <c r="BL7" s="512" t="s">
        <v>206</v>
      </c>
      <c r="BM7" s="512" t="s">
        <v>204</v>
      </c>
      <c r="BN7" s="707" t="s">
        <v>211</v>
      </c>
      <c r="BO7" s="713" t="s">
        <v>169</v>
      </c>
      <c r="BP7" s="513" t="s">
        <v>170</v>
      </c>
      <c r="BQ7" s="513" t="s">
        <v>171</v>
      </c>
      <c r="BR7" s="714" t="s">
        <v>172</v>
      </c>
      <c r="BS7" s="723" t="s">
        <v>174</v>
      </c>
      <c r="BT7" s="728" t="s">
        <v>152</v>
      </c>
      <c r="BU7" s="513" t="s">
        <v>153</v>
      </c>
      <c r="BV7" s="513" t="s">
        <v>154</v>
      </c>
      <c r="BW7" s="714" t="s">
        <v>155</v>
      </c>
      <c r="BX7" s="728" t="s">
        <v>99</v>
      </c>
      <c r="BY7" s="513" t="s">
        <v>100</v>
      </c>
      <c r="BZ7" s="513" t="s">
        <v>101</v>
      </c>
      <c r="CA7" s="513" t="s">
        <v>176</v>
      </c>
      <c r="CB7" s="714" t="s">
        <v>102</v>
      </c>
      <c r="CC7" s="723" t="s">
        <v>175</v>
      </c>
      <c r="CD7" s="158" t="s">
        <v>20</v>
      </c>
    </row>
    <row r="8" spans="2:82" s="50" customFormat="1" ht="11.25" customHeight="1" thickBot="1">
      <c r="B8" s="56"/>
      <c r="C8" s="41"/>
      <c r="D8" s="140"/>
      <c r="E8" s="122"/>
      <c r="F8" s="122"/>
      <c r="G8" s="123"/>
      <c r="H8" s="140"/>
      <c r="I8" s="123"/>
      <c r="J8" s="140"/>
      <c r="K8" s="118"/>
      <c r="L8" s="118"/>
      <c r="M8" s="483"/>
      <c r="N8" s="115"/>
      <c r="O8" s="115"/>
      <c r="P8" s="115"/>
      <c r="Q8" s="115"/>
      <c r="R8" s="115"/>
      <c r="S8" s="115"/>
      <c r="T8" s="116"/>
      <c r="U8" s="140"/>
      <c r="V8" s="151"/>
      <c r="W8" s="152"/>
      <c r="X8" s="151"/>
      <c r="Y8" s="128"/>
      <c r="Z8" s="184"/>
      <c r="AA8" s="185"/>
      <c r="AB8" s="186"/>
      <c r="AC8" s="157"/>
      <c r="AD8" s="186"/>
      <c r="AE8" s="128"/>
      <c r="AF8" s="57"/>
      <c r="AG8" s="136"/>
      <c r="AH8" s="136"/>
      <c r="AI8" s="136"/>
      <c r="AJ8" s="140"/>
      <c r="AK8" s="136"/>
      <c r="AL8" s="136"/>
      <c r="AM8" s="136"/>
      <c r="AN8" s="140"/>
      <c r="AO8" s="136"/>
      <c r="AP8" s="136"/>
      <c r="AQ8" s="136"/>
      <c r="AR8" s="140"/>
      <c r="AS8" s="136"/>
      <c r="AT8" s="136"/>
      <c r="AU8" s="136"/>
      <c r="AV8" s="140"/>
      <c r="AW8" s="492"/>
      <c r="AX8" s="136"/>
      <c r="AY8" s="493"/>
      <c r="AZ8" s="487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708"/>
      <c r="BO8" s="715"/>
      <c r="BP8" s="113"/>
      <c r="BQ8" s="113"/>
      <c r="BR8" s="716"/>
      <c r="BS8" s="724"/>
      <c r="BT8" s="729"/>
      <c r="BU8" s="113"/>
      <c r="BV8" s="113"/>
      <c r="BW8" s="716"/>
      <c r="BX8" s="729"/>
      <c r="BY8" s="113"/>
      <c r="BZ8" s="113"/>
      <c r="CA8" s="113"/>
      <c r="CB8" s="716"/>
      <c r="CC8" s="724"/>
      <c r="CD8" s="159"/>
    </row>
    <row r="9" spans="2:83" ht="12.75">
      <c r="B9" s="175" t="s">
        <v>89</v>
      </c>
      <c r="C9" s="181">
        <v>2008</v>
      </c>
      <c r="D9" s="470">
        <v>0</v>
      </c>
      <c r="E9" s="478">
        <f>D9/(1-Betriebsaufwand!$L$3)</f>
        <v>0</v>
      </c>
      <c r="F9" s="475">
        <f>1-H9</f>
        <v>0.72</v>
      </c>
      <c r="G9" s="188">
        <f>D9*F9</f>
        <v>0</v>
      </c>
      <c r="H9" s="189">
        <v>0.28</v>
      </c>
      <c r="I9" s="190">
        <f>D9*H9</f>
        <v>0</v>
      </c>
      <c r="J9" s="189">
        <v>0.68</v>
      </c>
      <c r="K9" s="191">
        <f>D9*J9</f>
        <v>0</v>
      </c>
      <c r="L9" s="192">
        <f>1-J9</f>
        <v>0.31999999999999995</v>
      </c>
      <c r="M9" s="484">
        <f>D9*L9</f>
        <v>0</v>
      </c>
      <c r="N9" s="304">
        <f aca="true" t="shared" si="0" ref="N9:N48">K9</f>
        <v>0</v>
      </c>
      <c r="O9" s="217">
        <f aca="true" t="shared" si="1" ref="O9:O48">N9*$O$3</f>
        <v>0</v>
      </c>
      <c r="P9" s="217">
        <f aca="true" t="shared" si="2" ref="P9:P48">N9*$P$3</f>
        <v>0</v>
      </c>
      <c r="Q9" s="217">
        <f aca="true" t="shared" si="3" ref="Q9:Q48">N9*$Q$3</f>
        <v>0</v>
      </c>
      <c r="R9" s="218">
        <f aca="true" t="shared" si="4" ref="R9:R48">N9*$R$3</f>
        <v>0</v>
      </c>
      <c r="S9" s="217">
        <f aca="true" t="shared" si="5" ref="S9:S48">N9*$S$3</f>
        <v>0</v>
      </c>
      <c r="T9" s="220">
        <f aca="true" t="shared" si="6" ref="T9:T48">N9*$T$3</f>
        <v>0</v>
      </c>
      <c r="U9" s="189">
        <v>0.2</v>
      </c>
      <c r="V9" s="230">
        <f aca="true" t="shared" si="7" ref="V9:V48">(I9-AC9-AA9)*U9</f>
        <v>0</v>
      </c>
      <c r="W9" s="193">
        <f>V9/Preisannahmen!P8</f>
        <v>0</v>
      </c>
      <c r="X9" s="205">
        <f>100%-U9</f>
        <v>0.8</v>
      </c>
      <c r="Y9" s="194">
        <f aca="true" t="shared" si="8" ref="Y9:Y48">(I9-AC9)*X9</f>
        <v>0</v>
      </c>
      <c r="Z9" s="195">
        <v>0</v>
      </c>
      <c r="AA9" s="232">
        <f aca="true" t="shared" si="9" ref="AA9:AA48">M9*Z9</f>
        <v>0</v>
      </c>
      <c r="AB9" s="189">
        <v>0</v>
      </c>
      <c r="AC9" s="290">
        <f aca="true" t="shared" si="10" ref="AC9:AC48">I9*AB9</f>
        <v>0</v>
      </c>
      <c r="AD9" s="299">
        <v>0.05</v>
      </c>
      <c r="AE9" s="295">
        <f>AC9*(1-AD9)</f>
        <v>0</v>
      </c>
      <c r="AF9" s="195">
        <v>0.8</v>
      </c>
      <c r="AG9" s="224">
        <f>AF9*V9</f>
        <v>0</v>
      </c>
      <c r="AH9" s="221">
        <f>1-AF9</f>
        <v>0.19999999999999996</v>
      </c>
      <c r="AI9" s="227">
        <f aca="true" t="shared" si="11" ref="AI9:AI48">AH9*V9</f>
        <v>0</v>
      </c>
      <c r="AJ9" s="189">
        <v>1</v>
      </c>
      <c r="AK9" s="224">
        <f>AJ9*AG9</f>
        <v>0</v>
      </c>
      <c r="AL9" s="221">
        <f>1-AJ9</f>
        <v>0</v>
      </c>
      <c r="AM9" s="227">
        <f>AL9*AG9</f>
        <v>0</v>
      </c>
      <c r="AN9" s="189">
        <v>1</v>
      </c>
      <c r="AO9" s="224">
        <f>AN9*AI9</f>
        <v>0</v>
      </c>
      <c r="AP9" s="221">
        <f>1-AN9</f>
        <v>0</v>
      </c>
      <c r="AQ9" s="227">
        <f>AP9*AI9</f>
        <v>0</v>
      </c>
      <c r="AR9" s="189">
        <v>0.9</v>
      </c>
      <c r="AS9" s="224">
        <f aca="true" t="shared" si="12" ref="AS9:AS48">AR9*AA9</f>
        <v>0</v>
      </c>
      <c r="AT9" s="221">
        <f>1-AR9</f>
        <v>0.09999999999999998</v>
      </c>
      <c r="AU9" s="227">
        <f aca="true" t="shared" si="13" ref="AU9:AU48">AT9*AA9</f>
        <v>0</v>
      </c>
      <c r="AV9" s="189">
        <v>1</v>
      </c>
      <c r="AW9" s="494">
        <f aca="true" t="shared" si="14" ref="AW9:AW48">AV9*AE9</f>
        <v>0</v>
      </c>
      <c r="AX9" s="221">
        <f>1-AV9</f>
        <v>0</v>
      </c>
      <c r="AY9" s="495">
        <f aca="true" t="shared" si="15" ref="AY9:AY48">AX9*AE9</f>
        <v>0</v>
      </c>
      <c r="AZ9" s="488">
        <v>0</v>
      </c>
      <c r="BA9" s="488">
        <v>0</v>
      </c>
      <c r="BB9" s="488">
        <v>0</v>
      </c>
      <c r="BC9" s="488">
        <v>0</v>
      </c>
      <c r="BD9" s="488">
        <v>0</v>
      </c>
      <c r="BE9" s="309">
        <v>0.9</v>
      </c>
      <c r="BF9" s="309">
        <v>0.9</v>
      </c>
      <c r="BG9" s="309">
        <v>0.6</v>
      </c>
      <c r="BH9" s="309">
        <v>0.85</v>
      </c>
      <c r="BI9" s="309">
        <v>0.6</v>
      </c>
      <c r="BJ9" s="309">
        <v>0.6</v>
      </c>
      <c r="BK9" s="309">
        <v>0.5</v>
      </c>
      <c r="BL9" s="309">
        <v>0.8</v>
      </c>
      <c r="BM9" s="309">
        <v>0.5</v>
      </c>
      <c r="BN9" s="709">
        <v>0</v>
      </c>
      <c r="BO9" s="717">
        <f>AK9*1000*Preisannahmen!K24*BF9</f>
        <v>0</v>
      </c>
      <c r="BP9" s="196">
        <f>AM9*1000*Preisannahmen!E24*BG9</f>
        <v>0</v>
      </c>
      <c r="BQ9" s="196">
        <f>AO9*1000*Preisannahmen!K19*BH9</f>
        <v>0</v>
      </c>
      <c r="BR9" s="718">
        <f>AQ9*1000*Preisannahmen!E19*BI9</f>
        <v>0</v>
      </c>
      <c r="BS9" s="725">
        <f>Y9*1000*Preisannahmen!$K$34*BN9</f>
        <v>0</v>
      </c>
      <c r="BT9" s="717">
        <f>AS9*1000*Preisannahmen!K35*BJ9</f>
        <v>0</v>
      </c>
      <c r="BU9" s="196">
        <f>AU9*1000*Preisannahmen!E35*BK9</f>
        <v>0</v>
      </c>
      <c r="BV9" s="196">
        <f>AW9*1000*Preisannahmen!K36*BL9</f>
        <v>0</v>
      </c>
      <c r="BW9" s="718">
        <f>AY9*1000*Preisannahmen!E36*BM9</f>
        <v>0</v>
      </c>
      <c r="BX9" s="717">
        <f>O9*1000*Preisannahmen!$N$38*AZ9</f>
        <v>0</v>
      </c>
      <c r="BY9" s="196">
        <f>P9*1000*Preisannahmen!$N$39*BA9</f>
        <v>0</v>
      </c>
      <c r="BZ9" s="196">
        <f>Q9*1000*Preisannahmen!$N$40*BB9</f>
        <v>0</v>
      </c>
      <c r="CA9" s="196">
        <f>R9*1000*Preisannahmen!$N$41*BC9</f>
        <v>0</v>
      </c>
      <c r="CB9" s="718">
        <f>S9*1000*Preisannahmen!$N$42*BD9</f>
        <v>0</v>
      </c>
      <c r="CC9" s="725">
        <f>T9*1000*Preisannahmen!$N$43*BE9</f>
        <v>0</v>
      </c>
      <c r="CD9" s="448">
        <f>SUM(BO9:CC9)</f>
        <v>0</v>
      </c>
      <c r="CE9" s="817">
        <f>SUM(CD9:CD16)</f>
        <v>475499.12567999994</v>
      </c>
    </row>
    <row r="10" spans="2:83" ht="12.75">
      <c r="B10" s="176" t="s">
        <v>90</v>
      </c>
      <c r="C10" s="182">
        <v>2008</v>
      </c>
      <c r="D10" s="471">
        <v>50</v>
      </c>
      <c r="E10" s="479">
        <f>D10/(1-Betriebsaufwand!$L$3)</f>
        <v>76.92307692307692</v>
      </c>
      <c r="F10" s="476">
        <f aca="true" t="shared" si="16" ref="F10:F48">1-H10</f>
        <v>0.78</v>
      </c>
      <c r="G10" s="162">
        <f>D10*F10</f>
        <v>39</v>
      </c>
      <c r="H10" s="143">
        <v>0.22</v>
      </c>
      <c r="I10" s="165">
        <f>D10*H10</f>
        <v>11</v>
      </c>
      <c r="J10" s="143">
        <v>0.74</v>
      </c>
      <c r="K10" s="167">
        <f>D10*J10</f>
        <v>37</v>
      </c>
      <c r="L10" s="120">
        <f aca="true" t="shared" si="17" ref="L10:L48">1-J10</f>
        <v>0.26</v>
      </c>
      <c r="M10" s="485">
        <f>D10*L10</f>
        <v>13</v>
      </c>
      <c r="N10" s="305">
        <f t="shared" si="0"/>
        <v>37</v>
      </c>
      <c r="O10" s="211">
        <f t="shared" si="1"/>
        <v>0</v>
      </c>
      <c r="P10" s="211">
        <f t="shared" si="2"/>
        <v>0</v>
      </c>
      <c r="Q10" s="211">
        <f t="shared" si="3"/>
        <v>0</v>
      </c>
      <c r="R10" s="212">
        <f t="shared" si="4"/>
        <v>0</v>
      </c>
      <c r="S10" s="211">
        <f t="shared" si="5"/>
        <v>0</v>
      </c>
      <c r="T10" s="213">
        <f t="shared" si="6"/>
        <v>37</v>
      </c>
      <c r="U10" s="143">
        <v>0.36</v>
      </c>
      <c r="V10" s="231">
        <f t="shared" si="7"/>
        <v>3.96</v>
      </c>
      <c r="W10" s="126">
        <f>V10/Preisannahmen!P6</f>
        <v>4.342105263157895</v>
      </c>
      <c r="X10" s="173">
        <f>100%-U10</f>
        <v>0.64</v>
      </c>
      <c r="Y10" s="129">
        <f t="shared" si="8"/>
        <v>7.04</v>
      </c>
      <c r="Z10" s="153">
        <v>0</v>
      </c>
      <c r="AA10" s="233">
        <f t="shared" si="9"/>
        <v>0</v>
      </c>
      <c r="AB10" s="143">
        <v>0</v>
      </c>
      <c r="AC10" s="291">
        <f t="shared" si="10"/>
        <v>0</v>
      </c>
      <c r="AD10" s="297">
        <v>0.05</v>
      </c>
      <c r="AE10" s="296">
        <f aca="true" t="shared" si="18" ref="AE10:AE48">AC10*(1-AD10)</f>
        <v>0</v>
      </c>
      <c r="AF10" s="153">
        <v>0.8</v>
      </c>
      <c r="AG10" s="225">
        <f aca="true" t="shared" si="19" ref="AG10:AG48">AF10*V10</f>
        <v>3.168</v>
      </c>
      <c r="AH10" s="222">
        <f aca="true" t="shared" si="20" ref="AH10:AH48">1-AF10</f>
        <v>0.19999999999999996</v>
      </c>
      <c r="AI10" s="228">
        <f t="shared" si="11"/>
        <v>0.7919999999999998</v>
      </c>
      <c r="AJ10" s="143">
        <v>1</v>
      </c>
      <c r="AK10" s="225">
        <f aca="true" t="shared" si="21" ref="AK10:AK48">AJ10*AG10</f>
        <v>3.168</v>
      </c>
      <c r="AL10" s="222">
        <f aca="true" t="shared" si="22" ref="AL10:AL48">1-AJ10</f>
        <v>0</v>
      </c>
      <c r="AM10" s="228">
        <f aca="true" t="shared" si="23" ref="AM10:AM48">AL10*AG10</f>
        <v>0</v>
      </c>
      <c r="AN10" s="143">
        <v>1</v>
      </c>
      <c r="AO10" s="225">
        <f aca="true" t="shared" si="24" ref="AO10:AO48">AN10*AI10</f>
        <v>0.7919999999999998</v>
      </c>
      <c r="AP10" s="222">
        <f aca="true" t="shared" si="25" ref="AP10:AP48">1-AN10</f>
        <v>0</v>
      </c>
      <c r="AQ10" s="228">
        <f aca="true" t="shared" si="26" ref="AQ10:AQ48">AP10*AI10</f>
        <v>0</v>
      </c>
      <c r="AR10" s="143">
        <v>0.9</v>
      </c>
      <c r="AS10" s="225">
        <f t="shared" si="12"/>
        <v>0</v>
      </c>
      <c r="AT10" s="222">
        <f aca="true" t="shared" si="27" ref="AT10:AT48">1-AR10</f>
        <v>0.09999999999999998</v>
      </c>
      <c r="AU10" s="228">
        <f t="shared" si="13"/>
        <v>0</v>
      </c>
      <c r="AV10" s="143">
        <v>1</v>
      </c>
      <c r="AW10" s="496">
        <f t="shared" si="14"/>
        <v>0</v>
      </c>
      <c r="AX10" s="222">
        <f aca="true" t="shared" si="28" ref="AX10:AX48">1-AV10</f>
        <v>0</v>
      </c>
      <c r="AY10" s="497">
        <f t="shared" si="15"/>
        <v>0</v>
      </c>
      <c r="AZ10" s="489">
        <v>0</v>
      </c>
      <c r="BA10" s="489">
        <v>0</v>
      </c>
      <c r="BB10" s="489">
        <v>0</v>
      </c>
      <c r="BC10" s="489">
        <v>0</v>
      </c>
      <c r="BD10" s="489">
        <v>0</v>
      </c>
      <c r="BE10" s="310">
        <v>0.9</v>
      </c>
      <c r="BF10" s="310">
        <v>0.9</v>
      </c>
      <c r="BG10" s="310">
        <v>0.6</v>
      </c>
      <c r="BH10" s="310">
        <v>0.85</v>
      </c>
      <c r="BI10" s="310">
        <v>0.6</v>
      </c>
      <c r="BJ10" s="310">
        <v>0.6</v>
      </c>
      <c r="BK10" s="310">
        <v>0.5</v>
      </c>
      <c r="BL10" s="310">
        <v>0.8</v>
      </c>
      <c r="BM10" s="310">
        <v>0.5</v>
      </c>
      <c r="BN10" s="710">
        <v>0</v>
      </c>
      <c r="BO10" s="719">
        <f>AK10*1000*Preisannahmen!K22*BF10</f>
        <v>46805.2992</v>
      </c>
      <c r="BP10" s="130">
        <f>AM10*1000*Preisannahmen!E22*BG10</f>
        <v>0</v>
      </c>
      <c r="BQ10" s="130">
        <f>AO10*1000*Preisannahmen!K17*BH10</f>
        <v>11051.251199999997</v>
      </c>
      <c r="BR10" s="720">
        <f>AQ10*1000*Preisannahmen!E17*BI10</f>
        <v>0</v>
      </c>
      <c r="BS10" s="726">
        <f>Y10*1000*Preisannahmen!$K$34*BN10</f>
        <v>0</v>
      </c>
      <c r="BT10" s="719">
        <f>AS10*1000*Preisannahmen!K35*BJ10</f>
        <v>0</v>
      </c>
      <c r="BU10" s="130">
        <f>AU10*1000*Preisannahmen!E35*BK10</f>
        <v>0</v>
      </c>
      <c r="BV10" s="130">
        <f>AW10*1000*Preisannahmen!K36*BL10</f>
        <v>0</v>
      </c>
      <c r="BW10" s="720">
        <f>AY10*1000*Preisannahmen!E36*BM10</f>
        <v>0</v>
      </c>
      <c r="BX10" s="719">
        <f>O10*1000*Preisannahmen!$N$38*AZ10</f>
        <v>0</v>
      </c>
      <c r="BY10" s="130">
        <f>P10*1000*Preisannahmen!$N$39*BA10</f>
        <v>0</v>
      </c>
      <c r="BZ10" s="130">
        <f>Q10*1000*Preisannahmen!$N$40*BB10</f>
        <v>0</v>
      </c>
      <c r="CA10" s="130">
        <f>R10*1000*Preisannahmen!$N$41*BC10</f>
        <v>0</v>
      </c>
      <c r="CB10" s="720">
        <f>S10*1000*Preisannahmen!$N$42*BD10</f>
        <v>0</v>
      </c>
      <c r="CC10" s="726">
        <f>T10*1000*Preisannahmen!$N$43*BE10</f>
        <v>6660</v>
      </c>
      <c r="CD10" s="449">
        <f>SUM(BO10:CC10)</f>
        <v>64516.5504</v>
      </c>
      <c r="CE10" s="820"/>
    </row>
    <row r="11" spans="2:83" ht="12.75">
      <c r="B11" s="177" t="s">
        <v>91</v>
      </c>
      <c r="C11" s="182">
        <v>2008</v>
      </c>
      <c r="D11" s="471">
        <v>50</v>
      </c>
      <c r="E11" s="479">
        <f>D11/(1-Betriebsaufwand!$L$3)</f>
        <v>76.92307692307692</v>
      </c>
      <c r="F11" s="476">
        <f t="shared" si="16"/>
        <v>0.94</v>
      </c>
      <c r="G11" s="162">
        <f aca="true" t="shared" si="29" ref="G11:G48">D11*F11</f>
        <v>47</v>
      </c>
      <c r="H11" s="143">
        <v>0.06</v>
      </c>
      <c r="I11" s="165">
        <f aca="true" t="shared" si="30" ref="I11:I48">D11*H11</f>
        <v>3</v>
      </c>
      <c r="J11" s="143">
        <v>0.9</v>
      </c>
      <c r="K11" s="167">
        <f aca="true" t="shared" si="31" ref="K11:K48">D11*J11</f>
        <v>45</v>
      </c>
      <c r="L11" s="120">
        <f t="shared" si="17"/>
        <v>0.09999999999999998</v>
      </c>
      <c r="M11" s="485">
        <f>D11*L11</f>
        <v>4.999999999999999</v>
      </c>
      <c r="N11" s="305">
        <f t="shared" si="0"/>
        <v>45</v>
      </c>
      <c r="O11" s="211">
        <f t="shared" si="1"/>
        <v>0</v>
      </c>
      <c r="P11" s="211">
        <f t="shared" si="2"/>
        <v>0</v>
      </c>
      <c r="Q11" s="211">
        <f t="shared" si="3"/>
        <v>0</v>
      </c>
      <c r="R11" s="212">
        <f t="shared" si="4"/>
        <v>0</v>
      </c>
      <c r="S11" s="211">
        <f t="shared" si="5"/>
        <v>0</v>
      </c>
      <c r="T11" s="213">
        <f t="shared" si="6"/>
        <v>45</v>
      </c>
      <c r="U11" s="143">
        <v>0.35</v>
      </c>
      <c r="V11" s="231">
        <f t="shared" si="7"/>
        <v>1.0499999999999998</v>
      </c>
      <c r="W11" s="126">
        <f>V11/Preisannahmen!P7</f>
        <v>1.1351351351351349</v>
      </c>
      <c r="X11" s="173">
        <f aca="true" t="shared" si="32" ref="X11:X48">100%-U11</f>
        <v>0.65</v>
      </c>
      <c r="Y11" s="129">
        <f t="shared" si="8"/>
        <v>1.9500000000000002</v>
      </c>
      <c r="Z11" s="153">
        <v>0</v>
      </c>
      <c r="AA11" s="233">
        <f t="shared" si="9"/>
        <v>0</v>
      </c>
      <c r="AB11" s="143">
        <v>0</v>
      </c>
      <c r="AC11" s="292">
        <f t="shared" si="10"/>
        <v>0</v>
      </c>
      <c r="AD11" s="297">
        <v>0.05</v>
      </c>
      <c r="AE11" s="296">
        <f t="shared" si="18"/>
        <v>0</v>
      </c>
      <c r="AF11" s="153">
        <v>0.8</v>
      </c>
      <c r="AG11" s="225">
        <f t="shared" si="19"/>
        <v>0.8399999999999999</v>
      </c>
      <c r="AH11" s="222">
        <f t="shared" si="20"/>
        <v>0.19999999999999996</v>
      </c>
      <c r="AI11" s="228">
        <f t="shared" si="11"/>
        <v>0.2099999999999999</v>
      </c>
      <c r="AJ11" s="143">
        <v>1</v>
      </c>
      <c r="AK11" s="225">
        <f t="shared" si="21"/>
        <v>0.8399999999999999</v>
      </c>
      <c r="AL11" s="222">
        <f t="shared" si="22"/>
        <v>0</v>
      </c>
      <c r="AM11" s="228">
        <f t="shared" si="23"/>
        <v>0</v>
      </c>
      <c r="AN11" s="143">
        <v>1</v>
      </c>
      <c r="AO11" s="225">
        <f t="shared" si="24"/>
        <v>0.2099999999999999</v>
      </c>
      <c r="AP11" s="222">
        <f t="shared" si="25"/>
        <v>0</v>
      </c>
      <c r="AQ11" s="228">
        <f t="shared" si="26"/>
        <v>0</v>
      </c>
      <c r="AR11" s="143">
        <v>0.9</v>
      </c>
      <c r="AS11" s="225">
        <f t="shared" si="12"/>
        <v>0</v>
      </c>
      <c r="AT11" s="222">
        <f t="shared" si="27"/>
        <v>0.09999999999999998</v>
      </c>
      <c r="AU11" s="228">
        <f t="shared" si="13"/>
        <v>0</v>
      </c>
      <c r="AV11" s="143">
        <v>1</v>
      </c>
      <c r="AW11" s="496">
        <f t="shared" si="14"/>
        <v>0</v>
      </c>
      <c r="AX11" s="222">
        <f t="shared" si="28"/>
        <v>0</v>
      </c>
      <c r="AY11" s="497">
        <f t="shared" si="15"/>
        <v>0</v>
      </c>
      <c r="AZ11" s="489">
        <v>0</v>
      </c>
      <c r="BA11" s="489">
        <v>0</v>
      </c>
      <c r="BB11" s="489">
        <v>0</v>
      </c>
      <c r="BC11" s="489">
        <v>0</v>
      </c>
      <c r="BD11" s="489">
        <v>0</v>
      </c>
      <c r="BE11" s="310">
        <v>0.9</v>
      </c>
      <c r="BF11" s="310">
        <v>0.9</v>
      </c>
      <c r="BG11" s="310">
        <v>0.6</v>
      </c>
      <c r="BH11" s="310">
        <v>0.85</v>
      </c>
      <c r="BI11" s="310">
        <v>0.6</v>
      </c>
      <c r="BJ11" s="310">
        <v>0.6</v>
      </c>
      <c r="BK11" s="310">
        <v>0.5</v>
      </c>
      <c r="BL11" s="310">
        <v>0.8</v>
      </c>
      <c r="BM11" s="310">
        <v>0.5</v>
      </c>
      <c r="BN11" s="710">
        <v>0</v>
      </c>
      <c r="BO11" s="719">
        <f>AK11*1000*Preisannahmen!K23*BF11</f>
        <v>13985.999999999998</v>
      </c>
      <c r="BP11" s="130">
        <f>AM11*1000*Preisannahmen!E23*BG11</f>
        <v>0</v>
      </c>
      <c r="BQ11" s="130">
        <f>AO11*1000*Preisannahmen!K18*BH11</f>
        <v>3302.2499999999986</v>
      </c>
      <c r="BR11" s="720">
        <f>AQ11*1000*Preisannahmen!E18*BI11</f>
        <v>0</v>
      </c>
      <c r="BS11" s="726">
        <f>Y11*1000*Preisannahmen!$K$34*BN11</f>
        <v>0</v>
      </c>
      <c r="BT11" s="719">
        <f>AS11*1000*Preisannahmen!K35*BJ11</f>
        <v>0</v>
      </c>
      <c r="BU11" s="130">
        <f>AU11*1000*Preisannahmen!E35*BK11</f>
        <v>0</v>
      </c>
      <c r="BV11" s="130">
        <f>AW11*1000*Preisannahmen!K36*BL11</f>
        <v>0</v>
      </c>
      <c r="BW11" s="720">
        <f>AY11*1000*Preisannahmen!E36*BM11</f>
        <v>0</v>
      </c>
      <c r="BX11" s="719">
        <f>O11*1000*Preisannahmen!$N$38*AZ11</f>
        <v>0</v>
      </c>
      <c r="BY11" s="130">
        <f>P11*1000*Preisannahmen!$N$39*BA11</f>
        <v>0</v>
      </c>
      <c r="BZ11" s="130">
        <f>Q11*1000*Preisannahmen!$N$40*BB11</f>
        <v>0</v>
      </c>
      <c r="CA11" s="130">
        <f>R11*1000*Preisannahmen!$N$41*BC11</f>
        <v>0</v>
      </c>
      <c r="CB11" s="720">
        <f>S11*1000*Preisannahmen!$N$42*BD11</f>
        <v>0</v>
      </c>
      <c r="CC11" s="726">
        <f>T11*1000*Preisannahmen!$N$43*BE11</f>
        <v>8100</v>
      </c>
      <c r="CD11" s="449">
        <f aca="true" t="shared" si="33" ref="CD11:CD48">SUM(BO11:CC11)</f>
        <v>25388.249999999996</v>
      </c>
      <c r="CE11" s="820"/>
    </row>
    <row r="12" spans="2:83" ht="13.5" thickBot="1">
      <c r="B12" s="178" t="s">
        <v>92</v>
      </c>
      <c r="C12" s="182">
        <v>2008</v>
      </c>
      <c r="D12" s="471">
        <v>20</v>
      </c>
      <c r="E12" s="479">
        <f>D12/(1-Betriebsaufwand!$L$3)</f>
        <v>30.769230769230766</v>
      </c>
      <c r="F12" s="476">
        <f t="shared" si="16"/>
        <v>0.79</v>
      </c>
      <c r="G12" s="162">
        <f t="shared" si="29"/>
        <v>15.8</v>
      </c>
      <c r="H12" s="144">
        <v>0.21</v>
      </c>
      <c r="I12" s="165">
        <f t="shared" si="30"/>
        <v>4.2</v>
      </c>
      <c r="J12" s="144">
        <v>0.75</v>
      </c>
      <c r="K12" s="167">
        <f t="shared" si="31"/>
        <v>15</v>
      </c>
      <c r="L12" s="120">
        <f t="shared" si="17"/>
        <v>0.25</v>
      </c>
      <c r="M12" s="485">
        <f aca="true" t="shared" si="34" ref="M12:M48">D12*L12</f>
        <v>5</v>
      </c>
      <c r="N12" s="305">
        <f t="shared" si="0"/>
        <v>15</v>
      </c>
      <c r="O12" s="211">
        <f t="shared" si="1"/>
        <v>0</v>
      </c>
      <c r="P12" s="211">
        <f t="shared" si="2"/>
        <v>0</v>
      </c>
      <c r="Q12" s="211">
        <f t="shared" si="3"/>
        <v>0</v>
      </c>
      <c r="R12" s="212">
        <f t="shared" si="4"/>
        <v>0</v>
      </c>
      <c r="S12" s="211">
        <f t="shared" si="5"/>
        <v>0</v>
      </c>
      <c r="T12" s="213">
        <f t="shared" si="6"/>
        <v>15</v>
      </c>
      <c r="U12" s="144">
        <v>0.28</v>
      </c>
      <c r="V12" s="231">
        <f t="shared" si="7"/>
        <v>1.1760000000000002</v>
      </c>
      <c r="W12" s="126">
        <f>V12/Preisannahmen!P9</f>
        <v>1.2838427947598254</v>
      </c>
      <c r="X12" s="173">
        <f t="shared" si="32"/>
        <v>0.72</v>
      </c>
      <c r="Y12" s="129">
        <f t="shared" si="8"/>
        <v>3.024</v>
      </c>
      <c r="Z12" s="153">
        <v>0</v>
      </c>
      <c r="AA12" s="233">
        <f t="shared" si="9"/>
        <v>0</v>
      </c>
      <c r="AB12" s="143">
        <v>0</v>
      </c>
      <c r="AC12" s="291">
        <f t="shared" si="10"/>
        <v>0</v>
      </c>
      <c r="AD12" s="298">
        <v>0.05</v>
      </c>
      <c r="AE12" s="296">
        <f t="shared" si="18"/>
        <v>0</v>
      </c>
      <c r="AF12" s="153">
        <v>0.8</v>
      </c>
      <c r="AG12" s="225">
        <f t="shared" si="19"/>
        <v>0.9408000000000002</v>
      </c>
      <c r="AH12" s="222">
        <f t="shared" si="20"/>
        <v>0.19999999999999996</v>
      </c>
      <c r="AI12" s="228">
        <f t="shared" si="11"/>
        <v>0.2352</v>
      </c>
      <c r="AJ12" s="143">
        <v>1</v>
      </c>
      <c r="AK12" s="225">
        <f t="shared" si="21"/>
        <v>0.9408000000000002</v>
      </c>
      <c r="AL12" s="222">
        <f t="shared" si="22"/>
        <v>0</v>
      </c>
      <c r="AM12" s="228">
        <f t="shared" si="23"/>
        <v>0</v>
      </c>
      <c r="AN12" s="143">
        <v>1</v>
      </c>
      <c r="AO12" s="225">
        <f t="shared" si="24"/>
        <v>0.2352</v>
      </c>
      <c r="AP12" s="222">
        <f t="shared" si="25"/>
        <v>0</v>
      </c>
      <c r="AQ12" s="228">
        <f t="shared" si="26"/>
        <v>0</v>
      </c>
      <c r="AR12" s="143">
        <v>0.9</v>
      </c>
      <c r="AS12" s="225">
        <f t="shared" si="12"/>
        <v>0</v>
      </c>
      <c r="AT12" s="222">
        <f t="shared" si="27"/>
        <v>0.09999999999999998</v>
      </c>
      <c r="AU12" s="228">
        <f t="shared" si="13"/>
        <v>0</v>
      </c>
      <c r="AV12" s="143">
        <v>1</v>
      </c>
      <c r="AW12" s="496">
        <f t="shared" si="14"/>
        <v>0</v>
      </c>
      <c r="AX12" s="222">
        <f t="shared" si="28"/>
        <v>0</v>
      </c>
      <c r="AY12" s="497">
        <f t="shared" si="15"/>
        <v>0</v>
      </c>
      <c r="AZ12" s="489">
        <v>0</v>
      </c>
      <c r="BA12" s="489">
        <v>0</v>
      </c>
      <c r="BB12" s="489">
        <v>0</v>
      </c>
      <c r="BC12" s="489">
        <v>0</v>
      </c>
      <c r="BD12" s="489">
        <v>0</v>
      </c>
      <c r="BE12" s="310">
        <v>0.9</v>
      </c>
      <c r="BF12" s="310">
        <v>0.9</v>
      </c>
      <c r="BG12" s="310">
        <v>0.6</v>
      </c>
      <c r="BH12" s="310">
        <v>0.85</v>
      </c>
      <c r="BI12" s="310">
        <v>0.6</v>
      </c>
      <c r="BJ12" s="310">
        <v>0.6</v>
      </c>
      <c r="BK12" s="310">
        <v>0.5</v>
      </c>
      <c r="BL12" s="310">
        <v>0.8</v>
      </c>
      <c r="BM12" s="310">
        <v>0.5</v>
      </c>
      <c r="BN12" s="710">
        <v>0</v>
      </c>
      <c r="BO12" s="719">
        <f>AK12*1000*Preisannahmen!K25*BF12</f>
        <v>17063.101440000002</v>
      </c>
      <c r="BP12" s="130">
        <f>AM12*1000*Preisannahmen!E25*BG12</f>
        <v>0</v>
      </c>
      <c r="BQ12" s="130">
        <f>AO12*1000*Preisannahmen!K20*BH12</f>
        <v>4028.78784</v>
      </c>
      <c r="BR12" s="720">
        <f>AQ12*1000*Preisannahmen!E20*BI12</f>
        <v>0</v>
      </c>
      <c r="BS12" s="726">
        <f>Y12*1000*Preisannahmen!$K$34*BN12</f>
        <v>0</v>
      </c>
      <c r="BT12" s="719">
        <f>AS12*1000*Preisannahmen!K35*BJ12</f>
        <v>0</v>
      </c>
      <c r="BU12" s="130">
        <f>AU12*1000*Preisannahmen!E35*BK12</f>
        <v>0</v>
      </c>
      <c r="BV12" s="130">
        <f>AW12*1000*Preisannahmen!K36*BL12</f>
        <v>0</v>
      </c>
      <c r="BW12" s="720">
        <f>AY12*1000*Preisannahmen!E36*BM12</f>
        <v>0</v>
      </c>
      <c r="BX12" s="719">
        <f>O12*1000*Preisannahmen!$N$38*AZ12</f>
        <v>0</v>
      </c>
      <c r="BY12" s="130">
        <f>P12*1000*Preisannahmen!$N$39*BA12</f>
        <v>0</v>
      </c>
      <c r="BZ12" s="130">
        <f>Q12*1000*Preisannahmen!$N$40*BB12</f>
        <v>0</v>
      </c>
      <c r="CA12" s="130">
        <f>R12*1000*Preisannahmen!$N$41*BC12</f>
        <v>0</v>
      </c>
      <c r="CB12" s="720">
        <f>S12*1000*Preisannahmen!$N$42*BD12</f>
        <v>0</v>
      </c>
      <c r="CC12" s="726">
        <f>T12*1000*Preisannahmen!$N$43*BE12</f>
        <v>2700</v>
      </c>
      <c r="CD12" s="449">
        <f t="shared" si="33"/>
        <v>23791.889280000003</v>
      </c>
      <c r="CE12" s="820"/>
    </row>
    <row r="13" spans="2:83" ht="12.75">
      <c r="B13" s="179" t="s">
        <v>87</v>
      </c>
      <c r="C13" s="182">
        <v>2008</v>
      </c>
      <c r="D13" s="471">
        <v>0</v>
      </c>
      <c r="E13" s="479">
        <f>D13/(1-Betriebsaufwand!$L$3)</f>
        <v>0</v>
      </c>
      <c r="F13" s="476">
        <f t="shared" si="16"/>
        <v>0.72</v>
      </c>
      <c r="G13" s="163">
        <f t="shared" si="29"/>
        <v>0</v>
      </c>
      <c r="H13" s="142">
        <f>H9</f>
        <v>0.28</v>
      </c>
      <c r="I13" s="162">
        <f t="shared" si="30"/>
        <v>0</v>
      </c>
      <c r="J13" s="146">
        <f>J9</f>
        <v>0.68</v>
      </c>
      <c r="K13" s="168">
        <f t="shared" si="31"/>
        <v>0</v>
      </c>
      <c r="L13" s="120">
        <f t="shared" si="17"/>
        <v>0.31999999999999995</v>
      </c>
      <c r="M13" s="485">
        <f t="shared" si="34"/>
        <v>0</v>
      </c>
      <c r="N13" s="305">
        <f t="shared" si="0"/>
        <v>0</v>
      </c>
      <c r="O13" s="211">
        <f t="shared" si="1"/>
        <v>0</v>
      </c>
      <c r="P13" s="211">
        <f t="shared" si="2"/>
        <v>0</v>
      </c>
      <c r="Q13" s="211">
        <f t="shared" si="3"/>
        <v>0</v>
      </c>
      <c r="R13" s="212">
        <f t="shared" si="4"/>
        <v>0</v>
      </c>
      <c r="S13" s="211">
        <f t="shared" si="5"/>
        <v>0</v>
      </c>
      <c r="T13" s="213">
        <f t="shared" si="6"/>
        <v>0</v>
      </c>
      <c r="U13" s="170">
        <f>U9</f>
        <v>0.2</v>
      </c>
      <c r="V13" s="126">
        <f t="shared" si="7"/>
        <v>0</v>
      </c>
      <c r="W13" s="126">
        <f>V13/Preisannahmen!P8</f>
        <v>0</v>
      </c>
      <c r="X13" s="173">
        <f t="shared" si="32"/>
        <v>0.8</v>
      </c>
      <c r="Y13" s="129">
        <f t="shared" si="8"/>
        <v>0</v>
      </c>
      <c r="Z13" s="153">
        <v>0</v>
      </c>
      <c r="AA13" s="233">
        <f t="shared" si="9"/>
        <v>0</v>
      </c>
      <c r="AB13" s="143">
        <v>0</v>
      </c>
      <c r="AC13" s="292">
        <f t="shared" si="10"/>
        <v>0</v>
      </c>
      <c r="AD13" s="300">
        <f>AD9</f>
        <v>0.05</v>
      </c>
      <c r="AE13" s="129">
        <f t="shared" si="18"/>
        <v>0</v>
      </c>
      <c r="AF13" s="153">
        <v>0.8</v>
      </c>
      <c r="AG13" s="225">
        <f t="shared" si="19"/>
        <v>0</v>
      </c>
      <c r="AH13" s="222">
        <f t="shared" si="20"/>
        <v>0.19999999999999996</v>
      </c>
      <c r="AI13" s="228">
        <f t="shared" si="11"/>
        <v>0</v>
      </c>
      <c r="AJ13" s="143">
        <v>1</v>
      </c>
      <c r="AK13" s="225">
        <f t="shared" si="21"/>
        <v>0</v>
      </c>
      <c r="AL13" s="222">
        <f t="shared" si="22"/>
        <v>0</v>
      </c>
      <c r="AM13" s="228">
        <f t="shared" si="23"/>
        <v>0</v>
      </c>
      <c r="AN13" s="143">
        <v>1</v>
      </c>
      <c r="AO13" s="225">
        <f t="shared" si="24"/>
        <v>0</v>
      </c>
      <c r="AP13" s="222">
        <f t="shared" si="25"/>
        <v>0</v>
      </c>
      <c r="AQ13" s="228">
        <f t="shared" si="26"/>
        <v>0</v>
      </c>
      <c r="AR13" s="143">
        <v>0.9</v>
      </c>
      <c r="AS13" s="225">
        <f t="shared" si="12"/>
        <v>0</v>
      </c>
      <c r="AT13" s="222">
        <f t="shared" si="27"/>
        <v>0.09999999999999998</v>
      </c>
      <c r="AU13" s="228">
        <f t="shared" si="13"/>
        <v>0</v>
      </c>
      <c r="AV13" s="143">
        <v>1</v>
      </c>
      <c r="AW13" s="496">
        <f t="shared" si="14"/>
        <v>0</v>
      </c>
      <c r="AX13" s="222">
        <f t="shared" si="28"/>
        <v>0</v>
      </c>
      <c r="AY13" s="497">
        <f t="shared" si="15"/>
        <v>0</v>
      </c>
      <c r="AZ13" s="489">
        <v>0</v>
      </c>
      <c r="BA13" s="489">
        <v>0</v>
      </c>
      <c r="BB13" s="489">
        <v>0</v>
      </c>
      <c r="BC13" s="489">
        <v>0</v>
      </c>
      <c r="BD13" s="489">
        <v>0</v>
      </c>
      <c r="BE13" s="310">
        <v>0.9</v>
      </c>
      <c r="BF13" s="310">
        <v>0.9</v>
      </c>
      <c r="BG13" s="310">
        <v>0.6</v>
      </c>
      <c r="BH13" s="310">
        <v>0.85</v>
      </c>
      <c r="BI13" s="310">
        <v>0.6</v>
      </c>
      <c r="BJ13" s="310">
        <v>0.6</v>
      </c>
      <c r="BK13" s="310">
        <v>0.5</v>
      </c>
      <c r="BL13" s="310">
        <v>0.8</v>
      </c>
      <c r="BM13" s="310">
        <v>0.5</v>
      </c>
      <c r="BN13" s="710">
        <v>0</v>
      </c>
      <c r="BO13" s="719">
        <f>AK13*1000*Preisannahmen!N24*BF13</f>
        <v>0</v>
      </c>
      <c r="BP13" s="130">
        <f>AM13*1000*Preisannahmen!H24*BG13</f>
        <v>0</v>
      </c>
      <c r="BQ13" s="130">
        <f>AO13*1000*Preisannahmen!N19*BH13</f>
        <v>0</v>
      </c>
      <c r="BR13" s="720">
        <f>AQ13*1000*Preisannahmen!H19*BI13</f>
        <v>0</v>
      </c>
      <c r="BS13" s="726">
        <f>Y13*1000*Preisannahmen!$N$34*BN13</f>
        <v>0</v>
      </c>
      <c r="BT13" s="719">
        <f>AS13*1000*Preisannahmen!N35*BJ13</f>
        <v>0</v>
      </c>
      <c r="BU13" s="130">
        <f>AU13*1000*Preisannahmen!H35*BK13</f>
        <v>0</v>
      </c>
      <c r="BV13" s="130">
        <f>AW13*1000*Preisannahmen!N36*BL13</f>
        <v>0</v>
      </c>
      <c r="BW13" s="720">
        <f>AY13*1000*Preisannahmen!H36*BM13</f>
        <v>0</v>
      </c>
      <c r="BX13" s="719">
        <f>O13*1000*Preisannahmen!$N$38*AZ13</f>
        <v>0</v>
      </c>
      <c r="BY13" s="130">
        <f>P13*1000*Preisannahmen!$N$39*BA13</f>
        <v>0</v>
      </c>
      <c r="BZ13" s="130">
        <f>Q13*1000*Preisannahmen!$N$40*BB13</f>
        <v>0</v>
      </c>
      <c r="CA13" s="130">
        <f>R13*1000*Preisannahmen!$N$41*BC13</f>
        <v>0</v>
      </c>
      <c r="CB13" s="720">
        <f>S13*1000*Preisannahmen!$N$42*BD13</f>
        <v>0</v>
      </c>
      <c r="CC13" s="726">
        <f>T13*1000*Preisannahmen!$N$43*BE13</f>
        <v>0</v>
      </c>
      <c r="CD13" s="449">
        <f t="shared" si="33"/>
        <v>0</v>
      </c>
      <c r="CE13" s="820"/>
    </row>
    <row r="14" spans="2:83" ht="12.75">
      <c r="B14" s="176" t="s">
        <v>85</v>
      </c>
      <c r="C14" s="182">
        <v>2008</v>
      </c>
      <c r="D14" s="471">
        <v>200</v>
      </c>
      <c r="E14" s="479">
        <f>D14/(1-Betriebsaufwand!$L$3)</f>
        <v>307.6923076923077</v>
      </c>
      <c r="F14" s="476">
        <f t="shared" si="16"/>
        <v>0.78</v>
      </c>
      <c r="G14" s="163">
        <f t="shared" si="29"/>
        <v>156</v>
      </c>
      <c r="H14" s="124">
        <f>H10</f>
        <v>0.22</v>
      </c>
      <c r="I14" s="162">
        <f t="shared" si="30"/>
        <v>44</v>
      </c>
      <c r="J14" s="119">
        <f>J10</f>
        <v>0.74</v>
      </c>
      <c r="K14" s="168">
        <f t="shared" si="31"/>
        <v>148</v>
      </c>
      <c r="L14" s="120">
        <f t="shared" si="17"/>
        <v>0.26</v>
      </c>
      <c r="M14" s="485">
        <f t="shared" si="34"/>
        <v>52</v>
      </c>
      <c r="N14" s="305">
        <f t="shared" si="0"/>
        <v>148</v>
      </c>
      <c r="O14" s="211">
        <f t="shared" si="1"/>
        <v>0</v>
      </c>
      <c r="P14" s="211">
        <f t="shared" si="2"/>
        <v>0</v>
      </c>
      <c r="Q14" s="211">
        <f t="shared" si="3"/>
        <v>0</v>
      </c>
      <c r="R14" s="212">
        <f t="shared" si="4"/>
        <v>0</v>
      </c>
      <c r="S14" s="211">
        <f t="shared" si="5"/>
        <v>0</v>
      </c>
      <c r="T14" s="213">
        <f t="shared" si="6"/>
        <v>148</v>
      </c>
      <c r="U14" s="171">
        <f>U10</f>
        <v>0.36</v>
      </c>
      <c r="V14" s="126">
        <f t="shared" si="7"/>
        <v>15.84</v>
      </c>
      <c r="W14" s="126">
        <f>V14/Preisannahmen!P6</f>
        <v>17.36842105263158</v>
      </c>
      <c r="X14" s="173">
        <f t="shared" si="32"/>
        <v>0.64</v>
      </c>
      <c r="Y14" s="129">
        <f t="shared" si="8"/>
        <v>28.16</v>
      </c>
      <c r="Z14" s="153">
        <v>0</v>
      </c>
      <c r="AA14" s="233">
        <f t="shared" si="9"/>
        <v>0</v>
      </c>
      <c r="AB14" s="143">
        <v>0</v>
      </c>
      <c r="AC14" s="291">
        <f t="shared" si="10"/>
        <v>0</v>
      </c>
      <c r="AD14" s="301">
        <f>AD10</f>
        <v>0.05</v>
      </c>
      <c r="AE14" s="129">
        <f t="shared" si="18"/>
        <v>0</v>
      </c>
      <c r="AF14" s="153">
        <v>0.8</v>
      </c>
      <c r="AG14" s="225">
        <f t="shared" si="19"/>
        <v>12.672</v>
      </c>
      <c r="AH14" s="222">
        <f t="shared" si="20"/>
        <v>0.19999999999999996</v>
      </c>
      <c r="AI14" s="228">
        <f t="shared" si="11"/>
        <v>3.1679999999999993</v>
      </c>
      <c r="AJ14" s="143">
        <v>1</v>
      </c>
      <c r="AK14" s="225">
        <f t="shared" si="21"/>
        <v>12.672</v>
      </c>
      <c r="AL14" s="222">
        <f t="shared" si="22"/>
        <v>0</v>
      </c>
      <c r="AM14" s="228">
        <f t="shared" si="23"/>
        <v>0</v>
      </c>
      <c r="AN14" s="143">
        <v>1</v>
      </c>
      <c r="AO14" s="225">
        <f t="shared" si="24"/>
        <v>3.1679999999999993</v>
      </c>
      <c r="AP14" s="222">
        <f t="shared" si="25"/>
        <v>0</v>
      </c>
      <c r="AQ14" s="228">
        <f t="shared" si="26"/>
        <v>0</v>
      </c>
      <c r="AR14" s="143">
        <v>0.9</v>
      </c>
      <c r="AS14" s="225">
        <f t="shared" si="12"/>
        <v>0</v>
      </c>
      <c r="AT14" s="222">
        <f t="shared" si="27"/>
        <v>0.09999999999999998</v>
      </c>
      <c r="AU14" s="228">
        <f t="shared" si="13"/>
        <v>0</v>
      </c>
      <c r="AV14" s="143">
        <v>1</v>
      </c>
      <c r="AW14" s="496">
        <f t="shared" si="14"/>
        <v>0</v>
      </c>
      <c r="AX14" s="222">
        <f t="shared" si="28"/>
        <v>0</v>
      </c>
      <c r="AY14" s="497">
        <f t="shared" si="15"/>
        <v>0</v>
      </c>
      <c r="AZ14" s="489">
        <v>0</v>
      </c>
      <c r="BA14" s="489">
        <v>0</v>
      </c>
      <c r="BB14" s="489">
        <v>0</v>
      </c>
      <c r="BC14" s="489">
        <v>0</v>
      </c>
      <c r="BD14" s="489">
        <v>0</v>
      </c>
      <c r="BE14" s="310">
        <v>0.9</v>
      </c>
      <c r="BF14" s="310">
        <v>0.9</v>
      </c>
      <c r="BG14" s="310">
        <v>0.6</v>
      </c>
      <c r="BH14" s="310">
        <v>0.85</v>
      </c>
      <c r="BI14" s="310">
        <v>0.6</v>
      </c>
      <c r="BJ14" s="310">
        <v>0.6</v>
      </c>
      <c r="BK14" s="310">
        <v>0.5</v>
      </c>
      <c r="BL14" s="310">
        <v>0.8</v>
      </c>
      <c r="BM14" s="310">
        <v>0.5</v>
      </c>
      <c r="BN14" s="710">
        <v>0</v>
      </c>
      <c r="BO14" s="719">
        <f>AK14*1000*Preisannahmen!N22*BF14</f>
        <v>156017.664</v>
      </c>
      <c r="BP14" s="130">
        <f>AM14*1000*Preisannahmen!H22*BG14</f>
        <v>0</v>
      </c>
      <c r="BQ14" s="130">
        <f>AO14*1000*Preisannahmen!N17*BH14</f>
        <v>39293.33759999999</v>
      </c>
      <c r="BR14" s="720">
        <f>AQ14*1000*Preisannahmen!H17*BI14</f>
        <v>0</v>
      </c>
      <c r="BS14" s="726">
        <f>Y14*1000*Preisannahmen!$N$34*BN14</f>
        <v>0</v>
      </c>
      <c r="BT14" s="719">
        <f>AS14*1000*Preisannahmen!N35*BJ14</f>
        <v>0</v>
      </c>
      <c r="BU14" s="130">
        <f>AU14*1000*Preisannahmen!H35*BK14</f>
        <v>0</v>
      </c>
      <c r="BV14" s="130">
        <f>AW14*1000*Preisannahmen!N36*BL14</f>
        <v>0</v>
      </c>
      <c r="BW14" s="720">
        <f>AY14*1000*Preisannahmen!H36*BM14</f>
        <v>0</v>
      </c>
      <c r="BX14" s="719">
        <f>O14*1000*Preisannahmen!$N$38*AZ14</f>
        <v>0</v>
      </c>
      <c r="BY14" s="130">
        <f>P14*1000*Preisannahmen!$N$39*BA14</f>
        <v>0</v>
      </c>
      <c r="BZ14" s="130">
        <f>Q14*1000*Preisannahmen!$N$40*BB14</f>
        <v>0</v>
      </c>
      <c r="CA14" s="130">
        <f>R14*1000*Preisannahmen!$N$41*BC14</f>
        <v>0</v>
      </c>
      <c r="CB14" s="720">
        <f>S14*1000*Preisannahmen!$N$42*BD14</f>
        <v>0</v>
      </c>
      <c r="CC14" s="726">
        <f>T14*1000*Preisannahmen!$N$43*BE14</f>
        <v>26640</v>
      </c>
      <c r="CD14" s="449">
        <f t="shared" si="33"/>
        <v>221951.0016</v>
      </c>
      <c r="CE14" s="820"/>
    </row>
    <row r="15" spans="2:83" ht="12.75">
      <c r="B15" s="177" t="s">
        <v>88</v>
      </c>
      <c r="C15" s="182">
        <v>2008</v>
      </c>
      <c r="D15" s="471">
        <v>200</v>
      </c>
      <c r="E15" s="479">
        <f>D15/(1-Betriebsaufwand!$L$3)</f>
        <v>307.6923076923077</v>
      </c>
      <c r="F15" s="476">
        <f t="shared" si="16"/>
        <v>0.94</v>
      </c>
      <c r="G15" s="163">
        <f t="shared" si="29"/>
        <v>188</v>
      </c>
      <c r="H15" s="124">
        <f>H11</f>
        <v>0.06</v>
      </c>
      <c r="I15" s="162">
        <f t="shared" si="30"/>
        <v>12</v>
      </c>
      <c r="J15" s="119">
        <f>J11</f>
        <v>0.9</v>
      </c>
      <c r="K15" s="168">
        <f t="shared" si="31"/>
        <v>180</v>
      </c>
      <c r="L15" s="120">
        <f t="shared" si="17"/>
        <v>0.09999999999999998</v>
      </c>
      <c r="M15" s="485">
        <f t="shared" si="34"/>
        <v>19.999999999999996</v>
      </c>
      <c r="N15" s="305">
        <f t="shared" si="0"/>
        <v>180</v>
      </c>
      <c r="O15" s="211">
        <f t="shared" si="1"/>
        <v>0</v>
      </c>
      <c r="P15" s="211">
        <f t="shared" si="2"/>
        <v>0</v>
      </c>
      <c r="Q15" s="211">
        <f t="shared" si="3"/>
        <v>0</v>
      </c>
      <c r="R15" s="212">
        <f t="shared" si="4"/>
        <v>0</v>
      </c>
      <c r="S15" s="211">
        <f t="shared" si="5"/>
        <v>0</v>
      </c>
      <c r="T15" s="213">
        <f t="shared" si="6"/>
        <v>180</v>
      </c>
      <c r="U15" s="171">
        <f>U11</f>
        <v>0.35</v>
      </c>
      <c r="V15" s="126">
        <f t="shared" si="7"/>
        <v>4.199999999999999</v>
      </c>
      <c r="W15" s="126">
        <f>V15/Preisannahmen!P7</f>
        <v>4.5405405405405395</v>
      </c>
      <c r="X15" s="173">
        <f t="shared" si="32"/>
        <v>0.65</v>
      </c>
      <c r="Y15" s="129">
        <f t="shared" si="8"/>
        <v>7.800000000000001</v>
      </c>
      <c r="Z15" s="153">
        <v>0</v>
      </c>
      <c r="AA15" s="233">
        <f t="shared" si="9"/>
        <v>0</v>
      </c>
      <c r="AB15" s="143">
        <v>0</v>
      </c>
      <c r="AC15" s="292">
        <f t="shared" si="10"/>
        <v>0</v>
      </c>
      <c r="AD15" s="301">
        <f>AD11</f>
        <v>0.05</v>
      </c>
      <c r="AE15" s="129">
        <f t="shared" si="18"/>
        <v>0</v>
      </c>
      <c r="AF15" s="153">
        <v>0.8</v>
      </c>
      <c r="AG15" s="225">
        <f t="shared" si="19"/>
        <v>3.3599999999999994</v>
      </c>
      <c r="AH15" s="222">
        <f t="shared" si="20"/>
        <v>0.19999999999999996</v>
      </c>
      <c r="AI15" s="228">
        <f t="shared" si="11"/>
        <v>0.8399999999999996</v>
      </c>
      <c r="AJ15" s="143">
        <v>1</v>
      </c>
      <c r="AK15" s="225">
        <f t="shared" si="21"/>
        <v>3.3599999999999994</v>
      </c>
      <c r="AL15" s="222">
        <f t="shared" si="22"/>
        <v>0</v>
      </c>
      <c r="AM15" s="228">
        <f t="shared" si="23"/>
        <v>0</v>
      </c>
      <c r="AN15" s="143">
        <v>1</v>
      </c>
      <c r="AO15" s="225">
        <f t="shared" si="24"/>
        <v>0.8399999999999996</v>
      </c>
      <c r="AP15" s="222">
        <f t="shared" si="25"/>
        <v>0</v>
      </c>
      <c r="AQ15" s="228">
        <f t="shared" si="26"/>
        <v>0</v>
      </c>
      <c r="AR15" s="143">
        <v>0.9</v>
      </c>
      <c r="AS15" s="225">
        <f t="shared" si="12"/>
        <v>0</v>
      </c>
      <c r="AT15" s="222">
        <f t="shared" si="27"/>
        <v>0.09999999999999998</v>
      </c>
      <c r="AU15" s="228">
        <f t="shared" si="13"/>
        <v>0</v>
      </c>
      <c r="AV15" s="143">
        <v>1</v>
      </c>
      <c r="AW15" s="496">
        <f t="shared" si="14"/>
        <v>0</v>
      </c>
      <c r="AX15" s="222">
        <f t="shared" si="28"/>
        <v>0</v>
      </c>
      <c r="AY15" s="497">
        <f t="shared" si="15"/>
        <v>0</v>
      </c>
      <c r="AZ15" s="489">
        <v>0</v>
      </c>
      <c r="BA15" s="489">
        <v>0</v>
      </c>
      <c r="BB15" s="489">
        <v>0</v>
      </c>
      <c r="BC15" s="489">
        <v>0</v>
      </c>
      <c r="BD15" s="489">
        <v>0</v>
      </c>
      <c r="BE15" s="310">
        <v>0.9</v>
      </c>
      <c r="BF15" s="310">
        <v>0.9</v>
      </c>
      <c r="BG15" s="310">
        <v>0.6</v>
      </c>
      <c r="BH15" s="310">
        <v>0.85</v>
      </c>
      <c r="BI15" s="310">
        <v>0.6</v>
      </c>
      <c r="BJ15" s="310">
        <v>0.6</v>
      </c>
      <c r="BK15" s="310">
        <v>0.5</v>
      </c>
      <c r="BL15" s="310">
        <v>0.8</v>
      </c>
      <c r="BM15" s="310">
        <v>0.5</v>
      </c>
      <c r="BN15" s="710">
        <v>0</v>
      </c>
      <c r="BO15" s="719">
        <f>AK15*1000*Preisannahmen!N23*BF15</f>
        <v>44755.2</v>
      </c>
      <c r="BP15" s="130">
        <f>AM15*1000*Preisannahmen!H23*BG15</f>
        <v>0</v>
      </c>
      <c r="BQ15" s="130">
        <f>AO15*1000*Preisannahmen!N18*BH15</f>
        <v>11888.099999999997</v>
      </c>
      <c r="BR15" s="720">
        <f>AQ15*1000*Preisannahmen!H18*BI15</f>
        <v>0</v>
      </c>
      <c r="BS15" s="726">
        <f>Y15*1000*Preisannahmen!$N$34*BN15</f>
        <v>0</v>
      </c>
      <c r="BT15" s="719">
        <f>AS15*1000*Preisannahmen!N35*BJ15</f>
        <v>0</v>
      </c>
      <c r="BU15" s="130">
        <f>AU15*1000*Preisannahmen!H35*BK15</f>
        <v>0</v>
      </c>
      <c r="BV15" s="130">
        <f>AW15*1000*Preisannahmen!N36*BL15</f>
        <v>0</v>
      </c>
      <c r="BW15" s="720">
        <f>AY15*1000*Preisannahmen!H36*BM15</f>
        <v>0</v>
      </c>
      <c r="BX15" s="719">
        <f>O15*1000*Preisannahmen!$N$38*AZ15</f>
        <v>0</v>
      </c>
      <c r="BY15" s="130">
        <f>P15*1000*Preisannahmen!$N$39*BA15</f>
        <v>0</v>
      </c>
      <c r="BZ15" s="130">
        <f>Q15*1000*Preisannahmen!$N$40*BB15</f>
        <v>0</v>
      </c>
      <c r="CA15" s="130">
        <f>R15*1000*Preisannahmen!$N$41*BC15</f>
        <v>0</v>
      </c>
      <c r="CB15" s="720">
        <f>S15*1000*Preisannahmen!$N$42*BD15</f>
        <v>0</v>
      </c>
      <c r="CC15" s="726">
        <f>T15*1000*Preisannahmen!$N$43*BE15</f>
        <v>32400</v>
      </c>
      <c r="CD15" s="449">
        <f t="shared" si="33"/>
        <v>89043.29999999999</v>
      </c>
      <c r="CE15" s="820"/>
    </row>
    <row r="16" spans="2:83" ht="13.5" thickBot="1">
      <c r="B16" s="180" t="s">
        <v>86</v>
      </c>
      <c r="C16" s="183">
        <v>2008</v>
      </c>
      <c r="D16" s="472">
        <v>50</v>
      </c>
      <c r="E16" s="480">
        <f>D16/(1-Betriebsaufwand!$L$3)</f>
        <v>76.92307692307692</v>
      </c>
      <c r="F16" s="477">
        <f t="shared" si="16"/>
        <v>0.79</v>
      </c>
      <c r="G16" s="164">
        <f t="shared" si="29"/>
        <v>39.5</v>
      </c>
      <c r="H16" s="131">
        <f>H12</f>
        <v>0.21</v>
      </c>
      <c r="I16" s="166">
        <f t="shared" si="30"/>
        <v>10.5</v>
      </c>
      <c r="J16" s="125">
        <f>J12</f>
        <v>0.75</v>
      </c>
      <c r="K16" s="169">
        <f t="shared" si="31"/>
        <v>37.5</v>
      </c>
      <c r="L16" s="132">
        <f t="shared" si="17"/>
        <v>0.25</v>
      </c>
      <c r="M16" s="486">
        <f t="shared" si="34"/>
        <v>12.5</v>
      </c>
      <c r="N16" s="306">
        <f t="shared" si="0"/>
        <v>37.5</v>
      </c>
      <c r="O16" s="214">
        <f t="shared" si="1"/>
        <v>0</v>
      </c>
      <c r="P16" s="214">
        <f t="shared" si="2"/>
        <v>0</v>
      </c>
      <c r="Q16" s="214">
        <f t="shared" si="3"/>
        <v>0</v>
      </c>
      <c r="R16" s="215">
        <f t="shared" si="4"/>
        <v>0</v>
      </c>
      <c r="S16" s="214">
        <f t="shared" si="5"/>
        <v>0</v>
      </c>
      <c r="T16" s="216">
        <f t="shared" si="6"/>
        <v>37.5</v>
      </c>
      <c r="U16" s="172">
        <f>U12</f>
        <v>0.28</v>
      </c>
      <c r="V16" s="127">
        <f t="shared" si="7"/>
        <v>2.9400000000000004</v>
      </c>
      <c r="W16" s="127">
        <f>V16/Preisannahmen!P9</f>
        <v>3.209606986899564</v>
      </c>
      <c r="X16" s="174">
        <f t="shared" si="32"/>
        <v>0.72</v>
      </c>
      <c r="Y16" s="135">
        <f t="shared" si="8"/>
        <v>7.56</v>
      </c>
      <c r="Z16" s="154">
        <v>0</v>
      </c>
      <c r="AA16" s="234">
        <f t="shared" si="9"/>
        <v>0</v>
      </c>
      <c r="AB16" s="144">
        <v>0</v>
      </c>
      <c r="AC16" s="293">
        <f t="shared" si="10"/>
        <v>0</v>
      </c>
      <c r="AD16" s="302">
        <f>AD12</f>
        <v>0.05</v>
      </c>
      <c r="AE16" s="135">
        <f t="shared" si="18"/>
        <v>0</v>
      </c>
      <c r="AF16" s="154">
        <v>0.8</v>
      </c>
      <c r="AG16" s="226">
        <f t="shared" si="19"/>
        <v>2.3520000000000003</v>
      </c>
      <c r="AH16" s="223">
        <f t="shared" si="20"/>
        <v>0.19999999999999996</v>
      </c>
      <c r="AI16" s="229">
        <f t="shared" si="11"/>
        <v>0.588</v>
      </c>
      <c r="AJ16" s="144">
        <v>1</v>
      </c>
      <c r="AK16" s="226">
        <f t="shared" si="21"/>
        <v>2.3520000000000003</v>
      </c>
      <c r="AL16" s="223">
        <f t="shared" si="22"/>
        <v>0</v>
      </c>
      <c r="AM16" s="229">
        <f t="shared" si="23"/>
        <v>0</v>
      </c>
      <c r="AN16" s="144">
        <v>1</v>
      </c>
      <c r="AO16" s="226">
        <f t="shared" si="24"/>
        <v>0.588</v>
      </c>
      <c r="AP16" s="223">
        <f t="shared" si="25"/>
        <v>0</v>
      </c>
      <c r="AQ16" s="229">
        <f t="shared" si="26"/>
        <v>0</v>
      </c>
      <c r="AR16" s="144">
        <v>0.9</v>
      </c>
      <c r="AS16" s="226">
        <f t="shared" si="12"/>
        <v>0</v>
      </c>
      <c r="AT16" s="223">
        <f t="shared" si="27"/>
        <v>0.09999999999999998</v>
      </c>
      <c r="AU16" s="229">
        <f t="shared" si="13"/>
        <v>0</v>
      </c>
      <c r="AV16" s="144">
        <v>1</v>
      </c>
      <c r="AW16" s="498">
        <f t="shared" si="14"/>
        <v>0</v>
      </c>
      <c r="AX16" s="223">
        <f t="shared" si="28"/>
        <v>0</v>
      </c>
      <c r="AY16" s="499">
        <f t="shared" si="15"/>
        <v>0</v>
      </c>
      <c r="AZ16" s="490">
        <v>0</v>
      </c>
      <c r="BA16" s="490">
        <v>0</v>
      </c>
      <c r="BB16" s="490">
        <v>0</v>
      </c>
      <c r="BC16" s="490">
        <v>0</v>
      </c>
      <c r="BD16" s="490">
        <v>0</v>
      </c>
      <c r="BE16" s="311">
        <v>0.9</v>
      </c>
      <c r="BF16" s="311">
        <v>0.9</v>
      </c>
      <c r="BG16" s="311">
        <v>0.6</v>
      </c>
      <c r="BH16" s="311">
        <v>0.85</v>
      </c>
      <c r="BI16" s="311">
        <v>0.6</v>
      </c>
      <c r="BJ16" s="311">
        <v>0.6</v>
      </c>
      <c r="BK16" s="311">
        <v>0.5</v>
      </c>
      <c r="BL16" s="311">
        <v>0.8</v>
      </c>
      <c r="BM16" s="311">
        <v>0.5</v>
      </c>
      <c r="BN16" s="711">
        <v>0</v>
      </c>
      <c r="BO16" s="721">
        <f>AK16*1000*Preisannahmen!N25*BF16</f>
        <v>34901.79840000001</v>
      </c>
      <c r="BP16" s="137">
        <f>AM16*1000*Preisannahmen!H25*BG16</f>
        <v>0</v>
      </c>
      <c r="BQ16" s="137">
        <f>AO16*1000*Preisannahmen!N20*BH16</f>
        <v>9156.336</v>
      </c>
      <c r="BR16" s="722">
        <f>AQ16*1000*Preisannahmen!H20*BI16</f>
        <v>0</v>
      </c>
      <c r="BS16" s="727">
        <f>Y16*1000*Preisannahmen!$N$34*BN16</f>
        <v>0</v>
      </c>
      <c r="BT16" s="721">
        <f>AS16*1000*Preisannahmen!N35*BJ16</f>
        <v>0</v>
      </c>
      <c r="BU16" s="137">
        <f>AU16*1000*Preisannahmen!H35*BK16</f>
        <v>0</v>
      </c>
      <c r="BV16" s="137">
        <f>AW16*1000*Preisannahmen!N36*BL16</f>
        <v>0</v>
      </c>
      <c r="BW16" s="722">
        <f>AY16*1000*Preisannahmen!H36*BM16</f>
        <v>0</v>
      </c>
      <c r="BX16" s="721">
        <f>O16*1000*Preisannahmen!$N$38*AZ16</f>
        <v>0</v>
      </c>
      <c r="BY16" s="137">
        <f>P16*1000*Preisannahmen!$N$39*BA16</f>
        <v>0</v>
      </c>
      <c r="BZ16" s="137">
        <f>Q16*1000*Preisannahmen!$N$40*BB16</f>
        <v>0</v>
      </c>
      <c r="CA16" s="137">
        <f>R16*1000*Preisannahmen!$N$41*BC16</f>
        <v>0</v>
      </c>
      <c r="CB16" s="722">
        <f>S16*1000*Preisannahmen!$N$42*BD16</f>
        <v>0</v>
      </c>
      <c r="CC16" s="727">
        <f>T16*1000*Preisannahmen!$N$43*BE16</f>
        <v>6750</v>
      </c>
      <c r="CD16" s="450">
        <f t="shared" si="33"/>
        <v>50808.13440000001</v>
      </c>
      <c r="CE16" s="821"/>
    </row>
    <row r="17" spans="2:83" ht="12.75">
      <c r="B17" s="175" t="s">
        <v>89</v>
      </c>
      <c r="C17" s="197">
        <v>2009</v>
      </c>
      <c r="D17" s="187">
        <v>0</v>
      </c>
      <c r="E17" s="478">
        <f>D17/(1-Betriebsaufwand!$L$3)</f>
        <v>0</v>
      </c>
      <c r="F17" s="475">
        <f t="shared" si="16"/>
        <v>0.72</v>
      </c>
      <c r="G17" s="200">
        <f t="shared" si="29"/>
        <v>0</v>
      </c>
      <c r="H17" s="201">
        <f>H9</f>
        <v>0.28</v>
      </c>
      <c r="I17" s="188">
        <f t="shared" si="30"/>
        <v>0</v>
      </c>
      <c r="J17" s="202">
        <f>J9</f>
        <v>0.68</v>
      </c>
      <c r="K17" s="203">
        <f t="shared" si="31"/>
        <v>0</v>
      </c>
      <c r="L17" s="192">
        <f t="shared" si="17"/>
        <v>0.31999999999999995</v>
      </c>
      <c r="M17" s="484">
        <f t="shared" si="34"/>
        <v>0</v>
      </c>
      <c r="N17" s="304">
        <f t="shared" si="0"/>
        <v>0</v>
      </c>
      <c r="O17" s="217">
        <f t="shared" si="1"/>
        <v>0</v>
      </c>
      <c r="P17" s="217">
        <f t="shared" si="2"/>
        <v>0</v>
      </c>
      <c r="Q17" s="217">
        <f t="shared" si="3"/>
        <v>0</v>
      </c>
      <c r="R17" s="218">
        <f t="shared" si="4"/>
        <v>0</v>
      </c>
      <c r="S17" s="217">
        <f t="shared" si="5"/>
        <v>0</v>
      </c>
      <c r="T17" s="219">
        <f t="shared" si="6"/>
        <v>0</v>
      </c>
      <c r="U17" s="204">
        <f>U9</f>
        <v>0.2</v>
      </c>
      <c r="V17" s="193">
        <f t="shared" si="7"/>
        <v>0</v>
      </c>
      <c r="W17" s="193">
        <f>V17/Preisannahmen!P8</f>
        <v>0</v>
      </c>
      <c r="X17" s="205">
        <f t="shared" si="32"/>
        <v>0.8</v>
      </c>
      <c r="Y17" s="194">
        <f t="shared" si="8"/>
        <v>0</v>
      </c>
      <c r="Z17" s="195">
        <v>0</v>
      </c>
      <c r="AA17" s="232">
        <f t="shared" si="9"/>
        <v>0</v>
      </c>
      <c r="AB17" s="189">
        <v>0.2</v>
      </c>
      <c r="AC17" s="290">
        <f t="shared" si="10"/>
        <v>0</v>
      </c>
      <c r="AD17" s="303">
        <f>AD9</f>
        <v>0.05</v>
      </c>
      <c r="AE17" s="194">
        <f t="shared" si="18"/>
        <v>0</v>
      </c>
      <c r="AF17" s="195">
        <v>0.8</v>
      </c>
      <c r="AG17" s="224">
        <f t="shared" si="19"/>
        <v>0</v>
      </c>
      <c r="AH17" s="221">
        <f t="shared" si="20"/>
        <v>0.19999999999999996</v>
      </c>
      <c r="AI17" s="227">
        <f t="shared" si="11"/>
        <v>0</v>
      </c>
      <c r="AJ17" s="189">
        <v>1</v>
      </c>
      <c r="AK17" s="224">
        <f t="shared" si="21"/>
        <v>0</v>
      </c>
      <c r="AL17" s="221">
        <f t="shared" si="22"/>
        <v>0</v>
      </c>
      <c r="AM17" s="227">
        <f t="shared" si="23"/>
        <v>0</v>
      </c>
      <c r="AN17" s="189">
        <v>1</v>
      </c>
      <c r="AO17" s="224">
        <f t="shared" si="24"/>
        <v>0</v>
      </c>
      <c r="AP17" s="221">
        <f t="shared" si="25"/>
        <v>0</v>
      </c>
      <c r="AQ17" s="227">
        <f t="shared" si="26"/>
        <v>0</v>
      </c>
      <c r="AR17" s="189">
        <v>0.9</v>
      </c>
      <c r="AS17" s="224">
        <f t="shared" si="12"/>
        <v>0</v>
      </c>
      <c r="AT17" s="221">
        <f t="shared" si="27"/>
        <v>0.09999999999999998</v>
      </c>
      <c r="AU17" s="227">
        <f t="shared" si="13"/>
        <v>0</v>
      </c>
      <c r="AV17" s="189">
        <v>1</v>
      </c>
      <c r="AW17" s="494">
        <f t="shared" si="14"/>
        <v>0</v>
      </c>
      <c r="AX17" s="221">
        <f t="shared" si="28"/>
        <v>0</v>
      </c>
      <c r="AY17" s="495">
        <f t="shared" si="15"/>
        <v>0</v>
      </c>
      <c r="AZ17" s="488">
        <v>0</v>
      </c>
      <c r="BA17" s="488">
        <v>0</v>
      </c>
      <c r="BB17" s="488">
        <v>0</v>
      </c>
      <c r="BC17" s="488">
        <v>0</v>
      </c>
      <c r="BD17" s="488">
        <v>0</v>
      </c>
      <c r="BE17" s="312">
        <v>1</v>
      </c>
      <c r="BF17" s="312">
        <v>0.95</v>
      </c>
      <c r="BG17" s="312">
        <v>0.8</v>
      </c>
      <c r="BH17" s="312">
        <v>0.9</v>
      </c>
      <c r="BI17" s="312">
        <v>0.8</v>
      </c>
      <c r="BJ17" s="312">
        <v>0.8</v>
      </c>
      <c r="BK17" s="312">
        <v>0.8</v>
      </c>
      <c r="BL17" s="312">
        <v>0.85</v>
      </c>
      <c r="BM17" s="312">
        <v>0.8</v>
      </c>
      <c r="BN17" s="712">
        <v>0</v>
      </c>
      <c r="BO17" s="717">
        <f>AK17*1000*Preisannahmen!K24*BF17</f>
        <v>0</v>
      </c>
      <c r="BP17" s="196">
        <f>AM17*1000*Preisannahmen!E24*BG17</f>
        <v>0</v>
      </c>
      <c r="BQ17" s="196">
        <f>AO17*1000*Preisannahmen!K19*BH17</f>
        <v>0</v>
      </c>
      <c r="BR17" s="718">
        <f>AQ17*1000*Preisannahmen!E19*BI17</f>
        <v>0</v>
      </c>
      <c r="BS17" s="725">
        <f>Y17*1000*Preisannahmen!$K$34*BN17</f>
        <v>0</v>
      </c>
      <c r="BT17" s="717">
        <f>AS17*1000*Preisannahmen!K35*BJ17</f>
        <v>0</v>
      </c>
      <c r="BU17" s="196">
        <f>AU17*1000*Preisannahmen!E35*BK17</f>
        <v>0</v>
      </c>
      <c r="BV17" s="196">
        <f>AW17*1000*Preisannahmen!K36*BL17</f>
        <v>0</v>
      </c>
      <c r="BW17" s="718">
        <f>AY17*1000*Preisannahmen!E36*BM17</f>
        <v>0</v>
      </c>
      <c r="BX17" s="717">
        <f>O17*1000*Preisannahmen!$N$38*AZ17</f>
        <v>0</v>
      </c>
      <c r="BY17" s="196">
        <f>P17*1000*Preisannahmen!$N$39*BA17</f>
        <v>0</v>
      </c>
      <c r="BZ17" s="196">
        <f>Q17*1000*Preisannahmen!$N$40*BB17</f>
        <v>0</v>
      </c>
      <c r="CA17" s="196">
        <f>R17*1000*Preisannahmen!$N$41*BC17</f>
        <v>0</v>
      </c>
      <c r="CB17" s="718">
        <f>S17*1000*Preisannahmen!$N$42*BD17</f>
        <v>0</v>
      </c>
      <c r="CC17" s="725">
        <f>T17*1000*Preisannahmen!$N$43*BE17</f>
        <v>0</v>
      </c>
      <c r="CD17" s="451">
        <f t="shared" si="33"/>
        <v>0</v>
      </c>
      <c r="CE17" s="817">
        <f>SUM(CD17:CD24)</f>
        <v>608067.764816</v>
      </c>
    </row>
    <row r="18" spans="2:83" ht="12.75">
      <c r="B18" s="176" t="s">
        <v>90</v>
      </c>
      <c r="C18" s="198">
        <v>2009</v>
      </c>
      <c r="D18" s="160">
        <v>50</v>
      </c>
      <c r="E18" s="479">
        <f>D18/(1-Betriebsaufwand!$L$3)</f>
        <v>76.92307692307692</v>
      </c>
      <c r="F18" s="476">
        <f t="shared" si="16"/>
        <v>0.78</v>
      </c>
      <c r="G18" s="163">
        <f t="shared" si="29"/>
        <v>39</v>
      </c>
      <c r="H18" s="124">
        <f>H10</f>
        <v>0.22</v>
      </c>
      <c r="I18" s="162">
        <f t="shared" si="30"/>
        <v>11</v>
      </c>
      <c r="J18" s="119">
        <f>J10</f>
        <v>0.74</v>
      </c>
      <c r="K18" s="168">
        <f t="shared" si="31"/>
        <v>37</v>
      </c>
      <c r="L18" s="120">
        <f t="shared" si="17"/>
        <v>0.26</v>
      </c>
      <c r="M18" s="485">
        <f t="shared" si="34"/>
        <v>13</v>
      </c>
      <c r="N18" s="305">
        <f t="shared" si="0"/>
        <v>37</v>
      </c>
      <c r="O18" s="211">
        <f t="shared" si="1"/>
        <v>0</v>
      </c>
      <c r="P18" s="211">
        <f t="shared" si="2"/>
        <v>0</v>
      </c>
      <c r="Q18" s="211">
        <f t="shared" si="3"/>
        <v>0</v>
      </c>
      <c r="R18" s="212">
        <f t="shared" si="4"/>
        <v>0</v>
      </c>
      <c r="S18" s="211">
        <f t="shared" si="5"/>
        <v>0</v>
      </c>
      <c r="T18" s="213">
        <f t="shared" si="6"/>
        <v>37</v>
      </c>
      <c r="U18" s="171">
        <f>U10</f>
        <v>0.36</v>
      </c>
      <c r="V18" s="126">
        <f t="shared" si="7"/>
        <v>3.168</v>
      </c>
      <c r="W18" s="126">
        <f>V18/Preisannahmen!P6</f>
        <v>3.473684210526316</v>
      </c>
      <c r="X18" s="173">
        <f t="shared" si="32"/>
        <v>0.64</v>
      </c>
      <c r="Y18" s="129">
        <f t="shared" si="8"/>
        <v>5.632000000000001</v>
      </c>
      <c r="Z18" s="153">
        <v>0</v>
      </c>
      <c r="AA18" s="233">
        <f t="shared" si="9"/>
        <v>0</v>
      </c>
      <c r="AB18" s="143">
        <v>0.2</v>
      </c>
      <c r="AC18" s="291">
        <f t="shared" si="10"/>
        <v>2.2</v>
      </c>
      <c r="AD18" s="301">
        <f>AD10</f>
        <v>0.05</v>
      </c>
      <c r="AE18" s="129">
        <f t="shared" si="18"/>
        <v>2.09</v>
      </c>
      <c r="AF18" s="153">
        <v>0.8</v>
      </c>
      <c r="AG18" s="225">
        <f t="shared" si="19"/>
        <v>2.5344</v>
      </c>
      <c r="AH18" s="222">
        <f t="shared" si="20"/>
        <v>0.19999999999999996</v>
      </c>
      <c r="AI18" s="228">
        <f t="shared" si="11"/>
        <v>0.6335999999999999</v>
      </c>
      <c r="AJ18" s="143">
        <v>1</v>
      </c>
      <c r="AK18" s="225">
        <f t="shared" si="21"/>
        <v>2.5344</v>
      </c>
      <c r="AL18" s="222">
        <f t="shared" si="22"/>
        <v>0</v>
      </c>
      <c r="AM18" s="228">
        <f t="shared" si="23"/>
        <v>0</v>
      </c>
      <c r="AN18" s="143">
        <v>1</v>
      </c>
      <c r="AO18" s="225">
        <f t="shared" si="24"/>
        <v>0.6335999999999999</v>
      </c>
      <c r="AP18" s="222">
        <f t="shared" si="25"/>
        <v>0</v>
      </c>
      <c r="AQ18" s="228">
        <f t="shared" si="26"/>
        <v>0</v>
      </c>
      <c r="AR18" s="143">
        <v>0.9</v>
      </c>
      <c r="AS18" s="225">
        <f t="shared" si="12"/>
        <v>0</v>
      </c>
      <c r="AT18" s="222">
        <f t="shared" si="27"/>
        <v>0.09999999999999998</v>
      </c>
      <c r="AU18" s="228">
        <f t="shared" si="13"/>
        <v>0</v>
      </c>
      <c r="AV18" s="143">
        <v>1</v>
      </c>
      <c r="AW18" s="496">
        <f t="shared" si="14"/>
        <v>2.09</v>
      </c>
      <c r="AX18" s="222">
        <f t="shared" si="28"/>
        <v>0</v>
      </c>
      <c r="AY18" s="497">
        <f t="shared" si="15"/>
        <v>0</v>
      </c>
      <c r="AZ18" s="489">
        <v>0</v>
      </c>
      <c r="BA18" s="489">
        <v>0</v>
      </c>
      <c r="BB18" s="489">
        <v>0</v>
      </c>
      <c r="BC18" s="489">
        <v>0</v>
      </c>
      <c r="BD18" s="489">
        <v>0</v>
      </c>
      <c r="BE18" s="310">
        <v>1</v>
      </c>
      <c r="BF18" s="310">
        <v>0.95</v>
      </c>
      <c r="BG18" s="310">
        <v>0.8</v>
      </c>
      <c r="BH18" s="310">
        <v>0.9</v>
      </c>
      <c r="BI18" s="310">
        <v>0.8</v>
      </c>
      <c r="BJ18" s="310">
        <v>0.8</v>
      </c>
      <c r="BK18" s="310">
        <v>0.8</v>
      </c>
      <c r="BL18" s="310">
        <v>0.85</v>
      </c>
      <c r="BM18" s="310">
        <v>0.8</v>
      </c>
      <c r="BN18" s="710">
        <v>0</v>
      </c>
      <c r="BO18" s="719">
        <f>AK18*1000*Preisannahmen!K22*BF18</f>
        <v>39524.47488</v>
      </c>
      <c r="BP18" s="130">
        <f>AM18*1000*Preisannahmen!E22*BG18</f>
        <v>0</v>
      </c>
      <c r="BQ18" s="130">
        <f>AO18*1000*Preisannahmen!K17*BH18</f>
        <v>9361.05984</v>
      </c>
      <c r="BR18" s="720">
        <f>AQ18*1000*Preisannahmen!E17*BI18</f>
        <v>0</v>
      </c>
      <c r="BS18" s="726">
        <f>Y18*1000*Preisannahmen!$K$34*BN18</f>
        <v>0</v>
      </c>
      <c r="BT18" s="719">
        <f>AS18*1000*Preisannahmen!K35*BJ18</f>
        <v>0</v>
      </c>
      <c r="BU18" s="130">
        <f>AU18*1000*Preisannahmen!E35*BK18</f>
        <v>0</v>
      </c>
      <c r="BV18" s="130">
        <f>AW18*1000*Preisannahmen!K36*BL18</f>
        <v>15988.5</v>
      </c>
      <c r="BW18" s="720">
        <f>AY18*1000*Preisannahmen!$E$36*BM18</f>
        <v>0</v>
      </c>
      <c r="BX18" s="719">
        <f>O18*1000*Preisannahmen!$N$38*AZ18</f>
        <v>0</v>
      </c>
      <c r="BY18" s="130">
        <f>P18*1000*Preisannahmen!$N$39*BA18</f>
        <v>0</v>
      </c>
      <c r="BZ18" s="130">
        <f>Q18*1000*Preisannahmen!$N$40*BB18</f>
        <v>0</v>
      </c>
      <c r="CA18" s="130">
        <f>R18*1000*Preisannahmen!$N$41*BC18</f>
        <v>0</v>
      </c>
      <c r="CB18" s="720">
        <f>S18*1000*Preisannahmen!$N$42*BD18</f>
        <v>0</v>
      </c>
      <c r="CC18" s="726">
        <f>T18*1000*Preisannahmen!$N$43*BE18</f>
        <v>7400</v>
      </c>
      <c r="CD18" s="449">
        <f t="shared" si="33"/>
        <v>72274.03472</v>
      </c>
      <c r="CE18" s="820"/>
    </row>
    <row r="19" spans="2:83" ht="12.75">
      <c r="B19" s="177" t="s">
        <v>91</v>
      </c>
      <c r="C19" s="198">
        <v>2009</v>
      </c>
      <c r="D19" s="160">
        <v>50</v>
      </c>
      <c r="E19" s="479">
        <f>D19/(1-Betriebsaufwand!$L$3)</f>
        <v>76.92307692307692</v>
      </c>
      <c r="F19" s="476">
        <f t="shared" si="16"/>
        <v>0.94</v>
      </c>
      <c r="G19" s="163">
        <f t="shared" si="29"/>
        <v>47</v>
      </c>
      <c r="H19" s="124">
        <f>H11</f>
        <v>0.06</v>
      </c>
      <c r="I19" s="162">
        <f t="shared" si="30"/>
        <v>3</v>
      </c>
      <c r="J19" s="119">
        <f>J11</f>
        <v>0.9</v>
      </c>
      <c r="K19" s="168">
        <f t="shared" si="31"/>
        <v>45</v>
      </c>
      <c r="L19" s="120">
        <f t="shared" si="17"/>
        <v>0.09999999999999998</v>
      </c>
      <c r="M19" s="485">
        <f t="shared" si="34"/>
        <v>4.999999999999999</v>
      </c>
      <c r="N19" s="305">
        <f t="shared" si="0"/>
        <v>45</v>
      </c>
      <c r="O19" s="211">
        <f t="shared" si="1"/>
        <v>0</v>
      </c>
      <c r="P19" s="211">
        <f t="shared" si="2"/>
        <v>0</v>
      </c>
      <c r="Q19" s="211">
        <f t="shared" si="3"/>
        <v>0</v>
      </c>
      <c r="R19" s="212">
        <f t="shared" si="4"/>
        <v>0</v>
      </c>
      <c r="S19" s="211">
        <f t="shared" si="5"/>
        <v>0</v>
      </c>
      <c r="T19" s="213">
        <f t="shared" si="6"/>
        <v>45</v>
      </c>
      <c r="U19" s="171">
        <f>U11</f>
        <v>0.35</v>
      </c>
      <c r="V19" s="126">
        <f t="shared" si="7"/>
        <v>0.84</v>
      </c>
      <c r="W19" s="126">
        <f>V19/Preisannahmen!P7</f>
        <v>0.908108108108108</v>
      </c>
      <c r="X19" s="173">
        <f t="shared" si="32"/>
        <v>0.65</v>
      </c>
      <c r="Y19" s="129">
        <f t="shared" si="8"/>
        <v>1.56</v>
      </c>
      <c r="Z19" s="153">
        <v>0</v>
      </c>
      <c r="AA19" s="233">
        <f t="shared" si="9"/>
        <v>0</v>
      </c>
      <c r="AB19" s="143">
        <v>0.2</v>
      </c>
      <c r="AC19" s="292">
        <f t="shared" si="10"/>
        <v>0.6000000000000001</v>
      </c>
      <c r="AD19" s="301">
        <f>AD11</f>
        <v>0.05</v>
      </c>
      <c r="AE19" s="129">
        <f t="shared" si="18"/>
        <v>0.5700000000000001</v>
      </c>
      <c r="AF19" s="153">
        <v>0.8</v>
      </c>
      <c r="AG19" s="225">
        <f t="shared" si="19"/>
        <v>0.672</v>
      </c>
      <c r="AH19" s="222">
        <f t="shared" si="20"/>
        <v>0.19999999999999996</v>
      </c>
      <c r="AI19" s="228">
        <f t="shared" si="11"/>
        <v>0.16799999999999995</v>
      </c>
      <c r="AJ19" s="143">
        <v>1</v>
      </c>
      <c r="AK19" s="225">
        <f t="shared" si="21"/>
        <v>0.672</v>
      </c>
      <c r="AL19" s="222">
        <f t="shared" si="22"/>
        <v>0</v>
      </c>
      <c r="AM19" s="228">
        <f t="shared" si="23"/>
        <v>0</v>
      </c>
      <c r="AN19" s="143">
        <v>1</v>
      </c>
      <c r="AO19" s="225">
        <f t="shared" si="24"/>
        <v>0.16799999999999995</v>
      </c>
      <c r="AP19" s="222">
        <f t="shared" si="25"/>
        <v>0</v>
      </c>
      <c r="AQ19" s="228">
        <f t="shared" si="26"/>
        <v>0</v>
      </c>
      <c r="AR19" s="143">
        <v>0.9</v>
      </c>
      <c r="AS19" s="225">
        <f t="shared" si="12"/>
        <v>0</v>
      </c>
      <c r="AT19" s="222">
        <f t="shared" si="27"/>
        <v>0.09999999999999998</v>
      </c>
      <c r="AU19" s="228">
        <f t="shared" si="13"/>
        <v>0</v>
      </c>
      <c r="AV19" s="143">
        <v>1</v>
      </c>
      <c r="AW19" s="496">
        <f t="shared" si="14"/>
        <v>0.5700000000000001</v>
      </c>
      <c r="AX19" s="222">
        <f t="shared" si="28"/>
        <v>0</v>
      </c>
      <c r="AY19" s="497">
        <f t="shared" si="15"/>
        <v>0</v>
      </c>
      <c r="AZ19" s="489">
        <v>0</v>
      </c>
      <c r="BA19" s="489">
        <v>0</v>
      </c>
      <c r="BB19" s="489">
        <v>0</v>
      </c>
      <c r="BC19" s="489">
        <v>0</v>
      </c>
      <c r="BD19" s="489">
        <v>0</v>
      </c>
      <c r="BE19" s="310">
        <v>1</v>
      </c>
      <c r="BF19" s="310">
        <v>0.95</v>
      </c>
      <c r="BG19" s="310">
        <v>0.8</v>
      </c>
      <c r="BH19" s="310">
        <v>0.9</v>
      </c>
      <c r="BI19" s="310">
        <v>0.8</v>
      </c>
      <c r="BJ19" s="310">
        <v>0.8</v>
      </c>
      <c r="BK19" s="310">
        <v>0.8</v>
      </c>
      <c r="BL19" s="310">
        <v>0.85</v>
      </c>
      <c r="BM19" s="310">
        <v>0.8</v>
      </c>
      <c r="BN19" s="710">
        <v>0</v>
      </c>
      <c r="BO19" s="719">
        <f>AK19*1000*Preisannahmen!K23*BF19</f>
        <v>11810.4</v>
      </c>
      <c r="BP19" s="130">
        <f>AM19*1000*Preisannahmen!E23*BG19</f>
        <v>0</v>
      </c>
      <c r="BQ19" s="130">
        <f>AO19*1000*Preisannahmen!K18*BH19</f>
        <v>2797.1999999999994</v>
      </c>
      <c r="BR19" s="720">
        <f>AQ19*1000*Preisannahmen!E18*BI19</f>
        <v>0</v>
      </c>
      <c r="BS19" s="726">
        <f>Y19*1000*Preisannahmen!$K$34*BN19</f>
        <v>0</v>
      </c>
      <c r="BT19" s="719">
        <f>AS19*1000*Preisannahmen!K35*BJ19</f>
        <v>0</v>
      </c>
      <c r="BU19" s="130">
        <f>AU19*1000*Preisannahmen!E35*BK19</f>
        <v>0</v>
      </c>
      <c r="BV19" s="130">
        <f>AW19*1000*Preisannahmen!K36*BL19</f>
        <v>4360.500000000001</v>
      </c>
      <c r="BW19" s="720">
        <f>AY19*1000*Preisannahmen!$E$36*BM19</f>
        <v>0</v>
      </c>
      <c r="BX19" s="719">
        <f>O19*1000*Preisannahmen!$N$38*AZ19</f>
        <v>0</v>
      </c>
      <c r="BY19" s="130">
        <f>P19*1000*Preisannahmen!$N$39*BA19</f>
        <v>0</v>
      </c>
      <c r="BZ19" s="130">
        <f>Q19*1000*Preisannahmen!$N$40*BB19</f>
        <v>0</v>
      </c>
      <c r="CA19" s="130">
        <f>R19*1000*Preisannahmen!$N$41*BC19</f>
        <v>0</v>
      </c>
      <c r="CB19" s="720">
        <f>S19*1000*Preisannahmen!$N$42*BD19</f>
        <v>0</v>
      </c>
      <c r="CC19" s="726">
        <f>T19*1000*Preisannahmen!$N$43*BE19</f>
        <v>9000</v>
      </c>
      <c r="CD19" s="449">
        <f t="shared" si="33"/>
        <v>27968.1</v>
      </c>
      <c r="CE19" s="820"/>
    </row>
    <row r="20" spans="2:83" ht="12.75">
      <c r="B20" s="178" t="s">
        <v>92</v>
      </c>
      <c r="C20" s="198">
        <v>2009</v>
      </c>
      <c r="D20" s="160">
        <v>30</v>
      </c>
      <c r="E20" s="479">
        <f>D20/(1-Betriebsaufwand!$L$3)</f>
        <v>46.15384615384615</v>
      </c>
      <c r="F20" s="476">
        <f t="shared" si="16"/>
        <v>0.79</v>
      </c>
      <c r="G20" s="163">
        <f t="shared" si="29"/>
        <v>23.700000000000003</v>
      </c>
      <c r="H20" s="124">
        <f>H12</f>
        <v>0.21</v>
      </c>
      <c r="I20" s="162">
        <f t="shared" si="30"/>
        <v>6.3</v>
      </c>
      <c r="J20" s="119">
        <f>J12</f>
        <v>0.75</v>
      </c>
      <c r="K20" s="168">
        <f t="shared" si="31"/>
        <v>22.5</v>
      </c>
      <c r="L20" s="120">
        <f t="shared" si="17"/>
        <v>0.25</v>
      </c>
      <c r="M20" s="485">
        <f t="shared" si="34"/>
        <v>7.5</v>
      </c>
      <c r="N20" s="305">
        <f t="shared" si="0"/>
        <v>22.5</v>
      </c>
      <c r="O20" s="211">
        <f t="shared" si="1"/>
        <v>0</v>
      </c>
      <c r="P20" s="211">
        <f t="shared" si="2"/>
        <v>0</v>
      </c>
      <c r="Q20" s="211">
        <f t="shared" si="3"/>
        <v>0</v>
      </c>
      <c r="R20" s="212">
        <f t="shared" si="4"/>
        <v>0</v>
      </c>
      <c r="S20" s="211">
        <f t="shared" si="5"/>
        <v>0</v>
      </c>
      <c r="T20" s="213">
        <f t="shared" si="6"/>
        <v>22.5</v>
      </c>
      <c r="U20" s="171">
        <f>U12</f>
        <v>0.28</v>
      </c>
      <c r="V20" s="126">
        <f t="shared" si="7"/>
        <v>1.4112000000000002</v>
      </c>
      <c r="W20" s="126">
        <f>V20/Preisannahmen!P9</f>
        <v>1.5406113537117905</v>
      </c>
      <c r="X20" s="173">
        <f t="shared" si="32"/>
        <v>0.72</v>
      </c>
      <c r="Y20" s="129">
        <f t="shared" si="8"/>
        <v>3.6288</v>
      </c>
      <c r="Z20" s="153">
        <v>0</v>
      </c>
      <c r="AA20" s="233">
        <f t="shared" si="9"/>
        <v>0</v>
      </c>
      <c r="AB20" s="143">
        <v>0.2</v>
      </c>
      <c r="AC20" s="291">
        <f t="shared" si="10"/>
        <v>1.26</v>
      </c>
      <c r="AD20" s="301">
        <f>AD12</f>
        <v>0.05</v>
      </c>
      <c r="AE20" s="129">
        <f t="shared" si="18"/>
        <v>1.1969999999999998</v>
      </c>
      <c r="AF20" s="153">
        <v>0.8</v>
      </c>
      <c r="AG20" s="225">
        <f t="shared" si="19"/>
        <v>1.1289600000000002</v>
      </c>
      <c r="AH20" s="222">
        <f t="shared" si="20"/>
        <v>0.19999999999999996</v>
      </c>
      <c r="AI20" s="228">
        <f t="shared" si="11"/>
        <v>0.28224</v>
      </c>
      <c r="AJ20" s="143">
        <v>1</v>
      </c>
      <c r="AK20" s="225">
        <f t="shared" si="21"/>
        <v>1.1289600000000002</v>
      </c>
      <c r="AL20" s="222">
        <f t="shared" si="22"/>
        <v>0</v>
      </c>
      <c r="AM20" s="228">
        <f t="shared" si="23"/>
        <v>0</v>
      </c>
      <c r="AN20" s="143">
        <v>1</v>
      </c>
      <c r="AO20" s="225">
        <f t="shared" si="24"/>
        <v>0.28224</v>
      </c>
      <c r="AP20" s="222">
        <f t="shared" si="25"/>
        <v>0</v>
      </c>
      <c r="AQ20" s="228">
        <f t="shared" si="26"/>
        <v>0</v>
      </c>
      <c r="AR20" s="143">
        <v>0.9</v>
      </c>
      <c r="AS20" s="225">
        <f t="shared" si="12"/>
        <v>0</v>
      </c>
      <c r="AT20" s="222">
        <f t="shared" si="27"/>
        <v>0.09999999999999998</v>
      </c>
      <c r="AU20" s="228">
        <f t="shared" si="13"/>
        <v>0</v>
      </c>
      <c r="AV20" s="143">
        <v>1</v>
      </c>
      <c r="AW20" s="496">
        <f t="shared" si="14"/>
        <v>1.1969999999999998</v>
      </c>
      <c r="AX20" s="222">
        <f t="shared" si="28"/>
        <v>0</v>
      </c>
      <c r="AY20" s="497">
        <f t="shared" si="15"/>
        <v>0</v>
      </c>
      <c r="AZ20" s="489">
        <v>0</v>
      </c>
      <c r="BA20" s="489">
        <v>0</v>
      </c>
      <c r="BB20" s="489">
        <v>0</v>
      </c>
      <c r="BC20" s="489">
        <v>0</v>
      </c>
      <c r="BD20" s="489">
        <v>0</v>
      </c>
      <c r="BE20" s="310">
        <v>1</v>
      </c>
      <c r="BF20" s="310">
        <v>0.95</v>
      </c>
      <c r="BG20" s="310">
        <v>0.8</v>
      </c>
      <c r="BH20" s="310">
        <v>0.9</v>
      </c>
      <c r="BI20" s="310">
        <v>0.8</v>
      </c>
      <c r="BJ20" s="310">
        <v>0.8</v>
      </c>
      <c r="BK20" s="310">
        <v>0.8</v>
      </c>
      <c r="BL20" s="310">
        <v>0.85</v>
      </c>
      <c r="BM20" s="310">
        <v>0.8</v>
      </c>
      <c r="BN20" s="710">
        <v>0</v>
      </c>
      <c r="BO20" s="719">
        <f>AK20*1000*Preisannahmen!K25*BF20</f>
        <v>21613.261824000005</v>
      </c>
      <c r="BP20" s="130">
        <f>AM20*1000*Preisannahmen!E25*BG20</f>
        <v>0</v>
      </c>
      <c r="BQ20" s="130">
        <f>AO20*1000*Preisannahmen!K20*BH20</f>
        <v>5118.930432</v>
      </c>
      <c r="BR20" s="720">
        <f>AQ20*1000*Preisannahmen!E20*BI20</f>
        <v>0</v>
      </c>
      <c r="BS20" s="726">
        <f>Y20*1000*Preisannahmen!$K$34*BN20</f>
        <v>0</v>
      </c>
      <c r="BT20" s="719">
        <f>AS20*1000*Preisannahmen!K35*BJ20</f>
        <v>0</v>
      </c>
      <c r="BU20" s="130">
        <f>AU20*1000*Preisannahmen!E35*BK20</f>
        <v>0</v>
      </c>
      <c r="BV20" s="130">
        <f>AW20*1000*Preisannahmen!K36*BL20</f>
        <v>9157.049999999997</v>
      </c>
      <c r="BW20" s="720">
        <f>AY20*1000*Preisannahmen!$E$36*BM20</f>
        <v>0</v>
      </c>
      <c r="BX20" s="719">
        <f>O20*1000*Preisannahmen!$N$38*AZ20</f>
        <v>0</v>
      </c>
      <c r="BY20" s="130">
        <f>P20*1000*Preisannahmen!$N$39*BA20</f>
        <v>0</v>
      </c>
      <c r="BZ20" s="130">
        <f>Q20*1000*Preisannahmen!$N$40*BB20</f>
        <v>0</v>
      </c>
      <c r="CA20" s="130">
        <f>R20*1000*Preisannahmen!$N$41*BC20</f>
        <v>0</v>
      </c>
      <c r="CB20" s="720">
        <f>S20*1000*Preisannahmen!$N$42*BD20</f>
        <v>0</v>
      </c>
      <c r="CC20" s="726">
        <f>T20*1000*Preisannahmen!$N$43*BE20</f>
        <v>4500</v>
      </c>
      <c r="CD20" s="449">
        <f t="shared" si="33"/>
        <v>40389.242256000005</v>
      </c>
      <c r="CE20" s="820"/>
    </row>
    <row r="21" spans="2:83" ht="12.75">
      <c r="B21" s="179" t="s">
        <v>87</v>
      </c>
      <c r="C21" s="198">
        <v>2009</v>
      </c>
      <c r="D21" s="160">
        <v>0</v>
      </c>
      <c r="E21" s="479">
        <f>D21/(1-Betriebsaufwand!$L$3)</f>
        <v>0</v>
      </c>
      <c r="F21" s="476">
        <f t="shared" si="16"/>
        <v>0.72</v>
      </c>
      <c r="G21" s="163">
        <f t="shared" si="29"/>
        <v>0</v>
      </c>
      <c r="H21" s="124">
        <f>H9</f>
        <v>0.28</v>
      </c>
      <c r="I21" s="162">
        <f t="shared" si="30"/>
        <v>0</v>
      </c>
      <c r="J21" s="119">
        <f>J9</f>
        <v>0.68</v>
      </c>
      <c r="K21" s="168">
        <f t="shared" si="31"/>
        <v>0</v>
      </c>
      <c r="L21" s="120">
        <f t="shared" si="17"/>
        <v>0.31999999999999995</v>
      </c>
      <c r="M21" s="485">
        <f t="shared" si="34"/>
        <v>0</v>
      </c>
      <c r="N21" s="305">
        <f t="shared" si="0"/>
        <v>0</v>
      </c>
      <c r="O21" s="211">
        <f t="shared" si="1"/>
        <v>0</v>
      </c>
      <c r="P21" s="211">
        <f t="shared" si="2"/>
        <v>0</v>
      </c>
      <c r="Q21" s="211">
        <f t="shared" si="3"/>
        <v>0</v>
      </c>
      <c r="R21" s="212">
        <f t="shared" si="4"/>
        <v>0</v>
      </c>
      <c r="S21" s="211">
        <f t="shared" si="5"/>
        <v>0</v>
      </c>
      <c r="T21" s="213">
        <f t="shared" si="6"/>
        <v>0</v>
      </c>
      <c r="U21" s="171">
        <f>U9</f>
        <v>0.2</v>
      </c>
      <c r="V21" s="126">
        <f t="shared" si="7"/>
        <v>0</v>
      </c>
      <c r="W21" s="126">
        <f>V21/Preisannahmen!P8</f>
        <v>0</v>
      </c>
      <c r="X21" s="173">
        <f t="shared" si="32"/>
        <v>0.8</v>
      </c>
      <c r="Y21" s="129">
        <f t="shared" si="8"/>
        <v>0</v>
      </c>
      <c r="Z21" s="153">
        <v>0</v>
      </c>
      <c r="AA21" s="233">
        <f t="shared" si="9"/>
        <v>0</v>
      </c>
      <c r="AB21" s="143">
        <v>0.2</v>
      </c>
      <c r="AC21" s="292">
        <f t="shared" si="10"/>
        <v>0</v>
      </c>
      <c r="AD21" s="301">
        <f>AD9</f>
        <v>0.05</v>
      </c>
      <c r="AE21" s="129">
        <f t="shared" si="18"/>
        <v>0</v>
      </c>
      <c r="AF21" s="153">
        <v>0.8</v>
      </c>
      <c r="AG21" s="225">
        <f t="shared" si="19"/>
        <v>0</v>
      </c>
      <c r="AH21" s="222">
        <f t="shared" si="20"/>
        <v>0.19999999999999996</v>
      </c>
      <c r="AI21" s="228">
        <f t="shared" si="11"/>
        <v>0</v>
      </c>
      <c r="AJ21" s="143">
        <v>1</v>
      </c>
      <c r="AK21" s="225">
        <f t="shared" si="21"/>
        <v>0</v>
      </c>
      <c r="AL21" s="222">
        <f t="shared" si="22"/>
        <v>0</v>
      </c>
      <c r="AM21" s="228">
        <f t="shared" si="23"/>
        <v>0</v>
      </c>
      <c r="AN21" s="143">
        <v>1</v>
      </c>
      <c r="AO21" s="225">
        <f t="shared" si="24"/>
        <v>0</v>
      </c>
      <c r="AP21" s="222">
        <f t="shared" si="25"/>
        <v>0</v>
      </c>
      <c r="AQ21" s="228">
        <f t="shared" si="26"/>
        <v>0</v>
      </c>
      <c r="AR21" s="143">
        <v>0.9</v>
      </c>
      <c r="AS21" s="225">
        <f t="shared" si="12"/>
        <v>0</v>
      </c>
      <c r="AT21" s="222">
        <f t="shared" si="27"/>
        <v>0.09999999999999998</v>
      </c>
      <c r="AU21" s="228">
        <f t="shared" si="13"/>
        <v>0</v>
      </c>
      <c r="AV21" s="143">
        <v>1</v>
      </c>
      <c r="AW21" s="496">
        <f t="shared" si="14"/>
        <v>0</v>
      </c>
      <c r="AX21" s="222">
        <f t="shared" si="28"/>
        <v>0</v>
      </c>
      <c r="AY21" s="497">
        <f t="shared" si="15"/>
        <v>0</v>
      </c>
      <c r="AZ21" s="489">
        <v>0</v>
      </c>
      <c r="BA21" s="489">
        <v>0</v>
      </c>
      <c r="BB21" s="489">
        <v>0</v>
      </c>
      <c r="BC21" s="489">
        <v>0</v>
      </c>
      <c r="BD21" s="489">
        <v>0</v>
      </c>
      <c r="BE21" s="310">
        <v>1</v>
      </c>
      <c r="BF21" s="310">
        <v>0.95</v>
      </c>
      <c r="BG21" s="310">
        <v>0.8</v>
      </c>
      <c r="BH21" s="310">
        <v>0.9</v>
      </c>
      <c r="BI21" s="310">
        <v>0.8</v>
      </c>
      <c r="BJ21" s="310">
        <v>0.8</v>
      </c>
      <c r="BK21" s="310">
        <v>0.8</v>
      </c>
      <c r="BL21" s="310">
        <v>0.85</v>
      </c>
      <c r="BM21" s="310">
        <v>0.8</v>
      </c>
      <c r="BN21" s="710">
        <v>0</v>
      </c>
      <c r="BO21" s="719">
        <f>AK21*1000*Preisannahmen!N24*BF21</f>
        <v>0</v>
      </c>
      <c r="BP21" s="130">
        <f>AM21*1000*Preisannahmen!H24*BG21</f>
        <v>0</v>
      </c>
      <c r="BQ21" s="130">
        <f>AO21*1000*Preisannahmen!N19*BH21</f>
        <v>0</v>
      </c>
      <c r="BR21" s="720">
        <f>AQ21*1000*Preisannahmen!H19*BI21</f>
        <v>0</v>
      </c>
      <c r="BS21" s="726">
        <f>Y21*1000*Preisannahmen!$N$34*BN21</f>
        <v>0</v>
      </c>
      <c r="BT21" s="719">
        <f>AS21*1000*Preisannahmen!N35*BJ21</f>
        <v>0</v>
      </c>
      <c r="BU21" s="130">
        <f>AU21*1000*Preisannahmen!H35*BK21</f>
        <v>0</v>
      </c>
      <c r="BV21" s="130">
        <f>AW21*1000*Preisannahmen!N36*BL21</f>
        <v>0</v>
      </c>
      <c r="BW21" s="720">
        <f>AY21*1000*Preisannahmen!$E$36*BM21</f>
        <v>0</v>
      </c>
      <c r="BX21" s="719">
        <f>O21*1000*Preisannahmen!$N$38*AZ21</f>
        <v>0</v>
      </c>
      <c r="BY21" s="130">
        <f>P21*1000*Preisannahmen!$N$39*BA21</f>
        <v>0</v>
      </c>
      <c r="BZ21" s="130">
        <f>Q21*1000*Preisannahmen!$N$40*BB21</f>
        <v>0</v>
      </c>
      <c r="CA21" s="130">
        <f>R21*1000*Preisannahmen!$N$41*BC21</f>
        <v>0</v>
      </c>
      <c r="CB21" s="720">
        <f>S21*1000*Preisannahmen!$N$42*BD21</f>
        <v>0</v>
      </c>
      <c r="CC21" s="726">
        <f>T21*1000*Preisannahmen!$N$43*BE21</f>
        <v>0</v>
      </c>
      <c r="CD21" s="449">
        <f t="shared" si="33"/>
        <v>0</v>
      </c>
      <c r="CE21" s="820"/>
    </row>
    <row r="22" spans="2:83" ht="12.75">
      <c r="B22" s="176" t="s">
        <v>85</v>
      </c>
      <c r="C22" s="198">
        <v>2009</v>
      </c>
      <c r="D22" s="160">
        <v>200</v>
      </c>
      <c r="E22" s="479">
        <f>D22/(1-Betriebsaufwand!$L$3)</f>
        <v>307.6923076923077</v>
      </c>
      <c r="F22" s="476">
        <f t="shared" si="16"/>
        <v>0.78</v>
      </c>
      <c r="G22" s="163">
        <f t="shared" si="29"/>
        <v>156</v>
      </c>
      <c r="H22" s="124">
        <f>H10</f>
        <v>0.22</v>
      </c>
      <c r="I22" s="162">
        <f t="shared" si="30"/>
        <v>44</v>
      </c>
      <c r="J22" s="119">
        <f>J10</f>
        <v>0.74</v>
      </c>
      <c r="K22" s="168">
        <f t="shared" si="31"/>
        <v>148</v>
      </c>
      <c r="L22" s="120">
        <f t="shared" si="17"/>
        <v>0.26</v>
      </c>
      <c r="M22" s="485">
        <f t="shared" si="34"/>
        <v>52</v>
      </c>
      <c r="N22" s="305">
        <f t="shared" si="0"/>
        <v>148</v>
      </c>
      <c r="O22" s="211">
        <f t="shared" si="1"/>
        <v>0</v>
      </c>
      <c r="P22" s="211">
        <f t="shared" si="2"/>
        <v>0</v>
      </c>
      <c r="Q22" s="211">
        <f t="shared" si="3"/>
        <v>0</v>
      </c>
      <c r="R22" s="212">
        <f t="shared" si="4"/>
        <v>0</v>
      </c>
      <c r="S22" s="211">
        <f t="shared" si="5"/>
        <v>0</v>
      </c>
      <c r="T22" s="213">
        <f t="shared" si="6"/>
        <v>148</v>
      </c>
      <c r="U22" s="171">
        <f>U10</f>
        <v>0.36</v>
      </c>
      <c r="V22" s="126">
        <f t="shared" si="7"/>
        <v>12.672</v>
      </c>
      <c r="W22" s="126">
        <f>V22/Preisannahmen!P6</f>
        <v>13.894736842105264</v>
      </c>
      <c r="X22" s="173">
        <f t="shared" si="32"/>
        <v>0.64</v>
      </c>
      <c r="Y22" s="129">
        <f t="shared" si="8"/>
        <v>22.528000000000002</v>
      </c>
      <c r="Z22" s="153">
        <v>0</v>
      </c>
      <c r="AA22" s="233">
        <f t="shared" si="9"/>
        <v>0</v>
      </c>
      <c r="AB22" s="143">
        <v>0.2</v>
      </c>
      <c r="AC22" s="291">
        <f t="shared" si="10"/>
        <v>8.8</v>
      </c>
      <c r="AD22" s="301">
        <f>AD10</f>
        <v>0.05</v>
      </c>
      <c r="AE22" s="129">
        <f t="shared" si="18"/>
        <v>8.36</v>
      </c>
      <c r="AF22" s="153">
        <v>0.8</v>
      </c>
      <c r="AG22" s="225">
        <f t="shared" si="19"/>
        <v>10.1376</v>
      </c>
      <c r="AH22" s="222">
        <f t="shared" si="20"/>
        <v>0.19999999999999996</v>
      </c>
      <c r="AI22" s="228">
        <f t="shared" si="11"/>
        <v>2.5343999999999998</v>
      </c>
      <c r="AJ22" s="143">
        <v>1</v>
      </c>
      <c r="AK22" s="225">
        <f t="shared" si="21"/>
        <v>10.1376</v>
      </c>
      <c r="AL22" s="222">
        <f t="shared" si="22"/>
        <v>0</v>
      </c>
      <c r="AM22" s="228">
        <f t="shared" si="23"/>
        <v>0</v>
      </c>
      <c r="AN22" s="143">
        <v>1</v>
      </c>
      <c r="AO22" s="225">
        <f t="shared" si="24"/>
        <v>2.5343999999999998</v>
      </c>
      <c r="AP22" s="222">
        <f t="shared" si="25"/>
        <v>0</v>
      </c>
      <c r="AQ22" s="228">
        <f t="shared" si="26"/>
        <v>0</v>
      </c>
      <c r="AR22" s="143">
        <v>0.9</v>
      </c>
      <c r="AS22" s="225">
        <f t="shared" si="12"/>
        <v>0</v>
      </c>
      <c r="AT22" s="222">
        <f t="shared" si="27"/>
        <v>0.09999999999999998</v>
      </c>
      <c r="AU22" s="228">
        <f t="shared" si="13"/>
        <v>0</v>
      </c>
      <c r="AV22" s="143">
        <v>1</v>
      </c>
      <c r="AW22" s="496">
        <f t="shared" si="14"/>
        <v>8.36</v>
      </c>
      <c r="AX22" s="222">
        <f t="shared" si="28"/>
        <v>0</v>
      </c>
      <c r="AY22" s="497">
        <f t="shared" si="15"/>
        <v>0</v>
      </c>
      <c r="AZ22" s="489">
        <v>0</v>
      </c>
      <c r="BA22" s="489">
        <v>0</v>
      </c>
      <c r="BB22" s="489">
        <v>0</v>
      </c>
      <c r="BC22" s="489">
        <v>0</v>
      </c>
      <c r="BD22" s="489">
        <v>0</v>
      </c>
      <c r="BE22" s="310">
        <v>1</v>
      </c>
      <c r="BF22" s="310">
        <v>0.95</v>
      </c>
      <c r="BG22" s="310">
        <v>0.8</v>
      </c>
      <c r="BH22" s="310">
        <v>0.9</v>
      </c>
      <c r="BI22" s="310">
        <v>0.8</v>
      </c>
      <c r="BJ22" s="310">
        <v>0.8</v>
      </c>
      <c r="BK22" s="310">
        <v>0.8</v>
      </c>
      <c r="BL22" s="310">
        <v>0.85</v>
      </c>
      <c r="BM22" s="310">
        <v>0.8</v>
      </c>
      <c r="BN22" s="710">
        <v>0</v>
      </c>
      <c r="BO22" s="719">
        <f>AK22*1000*Preisannahmen!N22*BF22</f>
        <v>131748.24959999998</v>
      </c>
      <c r="BP22" s="130">
        <f>AM22*1000*Preisannahmen!H22*BG22</f>
        <v>0</v>
      </c>
      <c r="BQ22" s="130">
        <f>AO22*1000*Preisannahmen!N17*BH22</f>
        <v>33283.768319999996</v>
      </c>
      <c r="BR22" s="720">
        <f>AQ22*1000*Preisannahmen!H17*BI22</f>
        <v>0</v>
      </c>
      <c r="BS22" s="726">
        <f>Y22*1000*Preisannahmen!$N$34*BN22</f>
        <v>0</v>
      </c>
      <c r="BT22" s="719">
        <f>AS22*1000*Preisannahmen!N35*BJ22</f>
        <v>0</v>
      </c>
      <c r="BU22" s="130">
        <f>AU22*1000*Preisannahmen!H35*BK22</f>
        <v>0</v>
      </c>
      <c r="BV22" s="130">
        <f>AW22*1000*Preisannahmen!N36*BL22</f>
        <v>56848</v>
      </c>
      <c r="BW22" s="720">
        <f>AY22*1000*Preisannahmen!$E$36*BM22</f>
        <v>0</v>
      </c>
      <c r="BX22" s="719">
        <f>O22*1000*Preisannahmen!$N$38*AZ22</f>
        <v>0</v>
      </c>
      <c r="BY22" s="130">
        <f>P22*1000*Preisannahmen!$N$39*BA22</f>
        <v>0</v>
      </c>
      <c r="BZ22" s="130">
        <f>Q22*1000*Preisannahmen!$N$40*BB22</f>
        <v>0</v>
      </c>
      <c r="CA22" s="130">
        <f>R22*1000*Preisannahmen!$N$41*BC22</f>
        <v>0</v>
      </c>
      <c r="CB22" s="720">
        <f>S22*1000*Preisannahmen!$N$42*BD22</f>
        <v>0</v>
      </c>
      <c r="CC22" s="726">
        <f>T22*1000*Preisannahmen!$N$43*BE22</f>
        <v>29600</v>
      </c>
      <c r="CD22" s="449">
        <f t="shared" si="33"/>
        <v>251480.01791999998</v>
      </c>
      <c r="CE22" s="820"/>
    </row>
    <row r="23" spans="2:83" ht="12.75">
      <c r="B23" s="177" t="s">
        <v>88</v>
      </c>
      <c r="C23" s="198">
        <v>2009</v>
      </c>
      <c r="D23" s="160">
        <v>200</v>
      </c>
      <c r="E23" s="479">
        <f>D23/(1-Betriebsaufwand!$L$3)</f>
        <v>307.6923076923077</v>
      </c>
      <c r="F23" s="476">
        <f t="shared" si="16"/>
        <v>0.94</v>
      </c>
      <c r="G23" s="163">
        <f t="shared" si="29"/>
        <v>188</v>
      </c>
      <c r="H23" s="124">
        <f>H11</f>
        <v>0.06</v>
      </c>
      <c r="I23" s="162">
        <f t="shared" si="30"/>
        <v>12</v>
      </c>
      <c r="J23" s="119">
        <f>J11</f>
        <v>0.9</v>
      </c>
      <c r="K23" s="168">
        <f t="shared" si="31"/>
        <v>180</v>
      </c>
      <c r="L23" s="120">
        <f t="shared" si="17"/>
        <v>0.09999999999999998</v>
      </c>
      <c r="M23" s="485">
        <f t="shared" si="34"/>
        <v>19.999999999999996</v>
      </c>
      <c r="N23" s="305">
        <f t="shared" si="0"/>
        <v>180</v>
      </c>
      <c r="O23" s="211">
        <f t="shared" si="1"/>
        <v>0</v>
      </c>
      <c r="P23" s="211">
        <f t="shared" si="2"/>
        <v>0</v>
      </c>
      <c r="Q23" s="211">
        <f t="shared" si="3"/>
        <v>0</v>
      </c>
      <c r="R23" s="212">
        <f t="shared" si="4"/>
        <v>0</v>
      </c>
      <c r="S23" s="211">
        <f t="shared" si="5"/>
        <v>0</v>
      </c>
      <c r="T23" s="213">
        <f t="shared" si="6"/>
        <v>180</v>
      </c>
      <c r="U23" s="171">
        <f>U11</f>
        <v>0.35</v>
      </c>
      <c r="V23" s="126">
        <f t="shared" si="7"/>
        <v>3.36</v>
      </c>
      <c r="W23" s="126">
        <f>V23/Preisannahmen!P7</f>
        <v>3.632432432432432</v>
      </c>
      <c r="X23" s="173">
        <f t="shared" si="32"/>
        <v>0.65</v>
      </c>
      <c r="Y23" s="129">
        <f t="shared" si="8"/>
        <v>6.24</v>
      </c>
      <c r="Z23" s="153">
        <v>0</v>
      </c>
      <c r="AA23" s="233">
        <f t="shared" si="9"/>
        <v>0</v>
      </c>
      <c r="AB23" s="143">
        <v>0.2</v>
      </c>
      <c r="AC23" s="292">
        <f t="shared" si="10"/>
        <v>2.4000000000000004</v>
      </c>
      <c r="AD23" s="301">
        <f>AD11</f>
        <v>0.05</v>
      </c>
      <c r="AE23" s="129">
        <f t="shared" si="18"/>
        <v>2.2800000000000002</v>
      </c>
      <c r="AF23" s="153">
        <v>0.8</v>
      </c>
      <c r="AG23" s="225">
        <f t="shared" si="19"/>
        <v>2.688</v>
      </c>
      <c r="AH23" s="222">
        <f t="shared" si="20"/>
        <v>0.19999999999999996</v>
      </c>
      <c r="AI23" s="228">
        <f t="shared" si="11"/>
        <v>0.6719999999999998</v>
      </c>
      <c r="AJ23" s="143">
        <v>1</v>
      </c>
      <c r="AK23" s="225">
        <f t="shared" si="21"/>
        <v>2.688</v>
      </c>
      <c r="AL23" s="222">
        <f t="shared" si="22"/>
        <v>0</v>
      </c>
      <c r="AM23" s="228">
        <f t="shared" si="23"/>
        <v>0</v>
      </c>
      <c r="AN23" s="143">
        <v>1</v>
      </c>
      <c r="AO23" s="225">
        <f t="shared" si="24"/>
        <v>0.6719999999999998</v>
      </c>
      <c r="AP23" s="222">
        <f t="shared" si="25"/>
        <v>0</v>
      </c>
      <c r="AQ23" s="228">
        <f t="shared" si="26"/>
        <v>0</v>
      </c>
      <c r="AR23" s="143">
        <v>0.9</v>
      </c>
      <c r="AS23" s="225">
        <f t="shared" si="12"/>
        <v>0</v>
      </c>
      <c r="AT23" s="222">
        <f t="shared" si="27"/>
        <v>0.09999999999999998</v>
      </c>
      <c r="AU23" s="228">
        <f t="shared" si="13"/>
        <v>0</v>
      </c>
      <c r="AV23" s="143">
        <v>1</v>
      </c>
      <c r="AW23" s="496">
        <f t="shared" si="14"/>
        <v>2.2800000000000002</v>
      </c>
      <c r="AX23" s="222">
        <f t="shared" si="28"/>
        <v>0</v>
      </c>
      <c r="AY23" s="497">
        <f t="shared" si="15"/>
        <v>0</v>
      </c>
      <c r="AZ23" s="489">
        <v>0</v>
      </c>
      <c r="BA23" s="489">
        <v>0</v>
      </c>
      <c r="BB23" s="489">
        <v>0</v>
      </c>
      <c r="BC23" s="489">
        <v>0</v>
      </c>
      <c r="BD23" s="489">
        <v>0</v>
      </c>
      <c r="BE23" s="310">
        <v>1</v>
      </c>
      <c r="BF23" s="310">
        <v>0.95</v>
      </c>
      <c r="BG23" s="310">
        <v>0.8</v>
      </c>
      <c r="BH23" s="310">
        <v>0.9</v>
      </c>
      <c r="BI23" s="310">
        <v>0.8</v>
      </c>
      <c r="BJ23" s="310">
        <v>0.8</v>
      </c>
      <c r="BK23" s="310">
        <v>0.8</v>
      </c>
      <c r="BL23" s="310">
        <v>0.85</v>
      </c>
      <c r="BM23" s="310">
        <v>0.8</v>
      </c>
      <c r="BN23" s="710">
        <v>0</v>
      </c>
      <c r="BO23" s="719">
        <f>AK23*1000*Preisannahmen!N23*BF23</f>
        <v>37793.28</v>
      </c>
      <c r="BP23" s="130">
        <f>AM23*1000*Preisannahmen!H23*BG23</f>
        <v>0</v>
      </c>
      <c r="BQ23" s="130">
        <f>AO23*1000*Preisannahmen!N18*BH23</f>
        <v>10069.919999999998</v>
      </c>
      <c r="BR23" s="720">
        <f>AQ23*1000*Preisannahmen!H18*BI23</f>
        <v>0</v>
      </c>
      <c r="BS23" s="726">
        <f>Y23*1000*Preisannahmen!$N$34*BN23</f>
        <v>0</v>
      </c>
      <c r="BT23" s="719">
        <f>AS23*1000*Preisannahmen!N35*BJ23</f>
        <v>0</v>
      </c>
      <c r="BU23" s="130">
        <f>AU23*1000*Preisannahmen!H35*BK23</f>
        <v>0</v>
      </c>
      <c r="BV23" s="130">
        <f>AW23*1000*Preisannahmen!N36*BL23</f>
        <v>15504.000000000002</v>
      </c>
      <c r="BW23" s="720">
        <f>AY23*1000*Preisannahmen!$E$36*BM23</f>
        <v>0</v>
      </c>
      <c r="BX23" s="719">
        <f>O23*1000*Preisannahmen!$N$38*AZ23</f>
        <v>0</v>
      </c>
      <c r="BY23" s="130">
        <f>P23*1000*Preisannahmen!$N$39*BA23</f>
        <v>0</v>
      </c>
      <c r="BZ23" s="130">
        <f>Q23*1000*Preisannahmen!$N$40*BB23</f>
        <v>0</v>
      </c>
      <c r="CA23" s="130">
        <f>R23*1000*Preisannahmen!$N$41*BC23</f>
        <v>0</v>
      </c>
      <c r="CB23" s="720">
        <f>S23*1000*Preisannahmen!$N$42*BD23</f>
        <v>0</v>
      </c>
      <c r="CC23" s="726">
        <f>T23*1000*Preisannahmen!$N$43*BE23</f>
        <v>36000</v>
      </c>
      <c r="CD23" s="449">
        <f t="shared" si="33"/>
        <v>99367.2</v>
      </c>
      <c r="CE23" s="820"/>
    </row>
    <row r="24" spans="2:83" ht="13.5" thickBot="1">
      <c r="B24" s="180" t="s">
        <v>86</v>
      </c>
      <c r="C24" s="199">
        <v>2009</v>
      </c>
      <c r="D24" s="161">
        <v>100</v>
      </c>
      <c r="E24" s="480">
        <f>D24/(1-Betriebsaufwand!$L$3)</f>
        <v>153.84615384615384</v>
      </c>
      <c r="F24" s="477">
        <f t="shared" si="16"/>
        <v>0.79</v>
      </c>
      <c r="G24" s="164">
        <f t="shared" si="29"/>
        <v>79</v>
      </c>
      <c r="H24" s="131">
        <f>H12</f>
        <v>0.21</v>
      </c>
      <c r="I24" s="166">
        <f t="shared" si="30"/>
        <v>21</v>
      </c>
      <c r="J24" s="125">
        <f>J12</f>
        <v>0.75</v>
      </c>
      <c r="K24" s="169">
        <f t="shared" si="31"/>
        <v>75</v>
      </c>
      <c r="L24" s="132">
        <f t="shared" si="17"/>
        <v>0.25</v>
      </c>
      <c r="M24" s="486">
        <f t="shared" si="34"/>
        <v>25</v>
      </c>
      <c r="N24" s="306">
        <f t="shared" si="0"/>
        <v>75</v>
      </c>
      <c r="O24" s="214">
        <f t="shared" si="1"/>
        <v>0</v>
      </c>
      <c r="P24" s="214">
        <f t="shared" si="2"/>
        <v>0</v>
      </c>
      <c r="Q24" s="214">
        <f t="shared" si="3"/>
        <v>0</v>
      </c>
      <c r="R24" s="215">
        <f t="shared" si="4"/>
        <v>0</v>
      </c>
      <c r="S24" s="214">
        <f t="shared" si="5"/>
        <v>0</v>
      </c>
      <c r="T24" s="216">
        <f t="shared" si="6"/>
        <v>75</v>
      </c>
      <c r="U24" s="172">
        <f>U12</f>
        <v>0.28</v>
      </c>
      <c r="V24" s="127">
        <f t="shared" si="7"/>
        <v>4.704000000000001</v>
      </c>
      <c r="W24" s="127">
        <f>V24/Preisannahmen!P9</f>
        <v>5.135371179039302</v>
      </c>
      <c r="X24" s="174">
        <f t="shared" si="32"/>
        <v>0.72</v>
      </c>
      <c r="Y24" s="135">
        <f t="shared" si="8"/>
        <v>12.096</v>
      </c>
      <c r="Z24" s="154">
        <v>0</v>
      </c>
      <c r="AA24" s="234">
        <f t="shared" si="9"/>
        <v>0</v>
      </c>
      <c r="AB24" s="144">
        <v>0.2</v>
      </c>
      <c r="AC24" s="293">
        <f t="shared" si="10"/>
        <v>4.2</v>
      </c>
      <c r="AD24" s="302">
        <f>AD12</f>
        <v>0.05</v>
      </c>
      <c r="AE24" s="135">
        <f t="shared" si="18"/>
        <v>3.9899999999999998</v>
      </c>
      <c r="AF24" s="154">
        <v>0.8</v>
      </c>
      <c r="AG24" s="226">
        <f t="shared" si="19"/>
        <v>3.7632000000000008</v>
      </c>
      <c r="AH24" s="223">
        <f t="shared" si="20"/>
        <v>0.19999999999999996</v>
      </c>
      <c r="AI24" s="229">
        <f t="shared" si="11"/>
        <v>0.9408</v>
      </c>
      <c r="AJ24" s="144">
        <v>1</v>
      </c>
      <c r="AK24" s="226">
        <f t="shared" si="21"/>
        <v>3.7632000000000008</v>
      </c>
      <c r="AL24" s="223">
        <f t="shared" si="22"/>
        <v>0</v>
      </c>
      <c r="AM24" s="229">
        <f t="shared" si="23"/>
        <v>0</v>
      </c>
      <c r="AN24" s="144">
        <v>1</v>
      </c>
      <c r="AO24" s="226">
        <f t="shared" si="24"/>
        <v>0.9408</v>
      </c>
      <c r="AP24" s="223">
        <f t="shared" si="25"/>
        <v>0</v>
      </c>
      <c r="AQ24" s="229">
        <f t="shared" si="26"/>
        <v>0</v>
      </c>
      <c r="AR24" s="144">
        <v>0.9</v>
      </c>
      <c r="AS24" s="226">
        <f t="shared" si="12"/>
        <v>0</v>
      </c>
      <c r="AT24" s="223">
        <f t="shared" si="27"/>
        <v>0.09999999999999998</v>
      </c>
      <c r="AU24" s="229">
        <f t="shared" si="13"/>
        <v>0</v>
      </c>
      <c r="AV24" s="144">
        <v>1</v>
      </c>
      <c r="AW24" s="498">
        <f t="shared" si="14"/>
        <v>3.9899999999999998</v>
      </c>
      <c r="AX24" s="223">
        <f t="shared" si="28"/>
        <v>0</v>
      </c>
      <c r="AY24" s="499">
        <f t="shared" si="15"/>
        <v>0</v>
      </c>
      <c r="AZ24" s="490">
        <v>0</v>
      </c>
      <c r="BA24" s="490">
        <v>0</v>
      </c>
      <c r="BB24" s="490">
        <v>0</v>
      </c>
      <c r="BC24" s="490">
        <v>0</v>
      </c>
      <c r="BD24" s="490">
        <v>0</v>
      </c>
      <c r="BE24" s="311">
        <v>1</v>
      </c>
      <c r="BF24" s="311">
        <v>0.95</v>
      </c>
      <c r="BG24" s="311">
        <v>0.8</v>
      </c>
      <c r="BH24" s="311">
        <v>0.9</v>
      </c>
      <c r="BI24" s="311">
        <v>0.8</v>
      </c>
      <c r="BJ24" s="311">
        <v>0.8</v>
      </c>
      <c r="BK24" s="311">
        <v>0.8</v>
      </c>
      <c r="BL24" s="311">
        <v>0.85</v>
      </c>
      <c r="BM24" s="311">
        <v>0.8</v>
      </c>
      <c r="BN24" s="711">
        <v>0</v>
      </c>
      <c r="BO24" s="721">
        <f>AK24*1000*Preisannahmen!N25*BF24</f>
        <v>58945.25952000001</v>
      </c>
      <c r="BP24" s="137">
        <f>AM24*1000*Preisannahmen!H25*BG24</f>
        <v>0</v>
      </c>
      <c r="BQ24" s="137">
        <f>AO24*1000*Preisannahmen!N20*BH24</f>
        <v>15511.910399999999</v>
      </c>
      <c r="BR24" s="722">
        <f>AQ24*1000*Preisannahmen!H20*BI24</f>
        <v>0</v>
      </c>
      <c r="BS24" s="727">
        <f>Y24*1000*Preisannahmen!$N$34*BN24</f>
        <v>0</v>
      </c>
      <c r="BT24" s="721">
        <f>AS24*1000*Preisannahmen!N35*BJ24</f>
        <v>0</v>
      </c>
      <c r="BU24" s="137">
        <f>AU24*1000*Preisannahmen!H35*BK24</f>
        <v>0</v>
      </c>
      <c r="BV24" s="137">
        <f>AW24*1000*Preisannahmen!N36*BL24</f>
        <v>27131.999999999996</v>
      </c>
      <c r="BW24" s="722">
        <f>AY24*1000*Preisannahmen!$E$36*BM24</f>
        <v>0</v>
      </c>
      <c r="BX24" s="721">
        <f>O24*1000*Preisannahmen!$N$38*AZ24</f>
        <v>0</v>
      </c>
      <c r="BY24" s="137">
        <f>P24*1000*Preisannahmen!$N$39*BA24</f>
        <v>0</v>
      </c>
      <c r="BZ24" s="137">
        <f>Q24*1000*Preisannahmen!$N$40*BB24</f>
        <v>0</v>
      </c>
      <c r="CA24" s="137">
        <f>R24*1000*Preisannahmen!$N$41*BC24</f>
        <v>0</v>
      </c>
      <c r="CB24" s="722">
        <f>S24*1000*Preisannahmen!$N$42*BD24</f>
        <v>0</v>
      </c>
      <c r="CC24" s="727">
        <f>T24*1000*Preisannahmen!$N$43*BE24</f>
        <v>15000</v>
      </c>
      <c r="CD24" s="450">
        <f t="shared" si="33"/>
        <v>116589.16992</v>
      </c>
      <c r="CE24" s="821"/>
    </row>
    <row r="25" spans="2:83" ht="12.75">
      <c r="B25" s="175" t="s">
        <v>89</v>
      </c>
      <c r="C25" s="181">
        <v>2010</v>
      </c>
      <c r="D25" s="187">
        <v>0</v>
      </c>
      <c r="E25" s="478">
        <f>D25/(1-Betriebsaufwand!$L$3)</f>
        <v>0</v>
      </c>
      <c r="F25" s="475">
        <f t="shared" si="16"/>
        <v>0.72</v>
      </c>
      <c r="G25" s="200">
        <f t="shared" si="29"/>
        <v>0</v>
      </c>
      <c r="H25" s="201">
        <f>H9</f>
        <v>0.28</v>
      </c>
      <c r="I25" s="188">
        <f t="shared" si="30"/>
        <v>0</v>
      </c>
      <c r="J25" s="202">
        <f>J9</f>
        <v>0.68</v>
      </c>
      <c r="K25" s="203">
        <f t="shared" si="31"/>
        <v>0</v>
      </c>
      <c r="L25" s="192">
        <f t="shared" si="17"/>
        <v>0.31999999999999995</v>
      </c>
      <c r="M25" s="484">
        <f t="shared" si="34"/>
        <v>0</v>
      </c>
      <c r="N25" s="304">
        <f t="shared" si="0"/>
        <v>0</v>
      </c>
      <c r="O25" s="217">
        <f t="shared" si="1"/>
        <v>0</v>
      </c>
      <c r="P25" s="217">
        <f t="shared" si="2"/>
        <v>0</v>
      </c>
      <c r="Q25" s="217">
        <f t="shared" si="3"/>
        <v>0</v>
      </c>
      <c r="R25" s="218">
        <f t="shared" si="4"/>
        <v>0</v>
      </c>
      <c r="S25" s="217">
        <f t="shared" si="5"/>
        <v>0</v>
      </c>
      <c r="T25" s="219">
        <f t="shared" si="6"/>
        <v>0</v>
      </c>
      <c r="U25" s="204">
        <f>U9</f>
        <v>0.2</v>
      </c>
      <c r="V25" s="193">
        <f t="shared" si="7"/>
        <v>0</v>
      </c>
      <c r="W25" s="193">
        <f>V25/Preisannahmen!P8</f>
        <v>0</v>
      </c>
      <c r="X25" s="205">
        <f t="shared" si="32"/>
        <v>0.8</v>
      </c>
      <c r="Y25" s="194">
        <f t="shared" si="8"/>
        <v>0</v>
      </c>
      <c r="Z25" s="195">
        <v>0</v>
      </c>
      <c r="AA25" s="232">
        <f t="shared" si="9"/>
        <v>0</v>
      </c>
      <c r="AB25" s="189">
        <v>0.2</v>
      </c>
      <c r="AC25" s="290">
        <f t="shared" si="10"/>
        <v>0</v>
      </c>
      <c r="AD25" s="303">
        <f>AD9</f>
        <v>0.05</v>
      </c>
      <c r="AE25" s="194">
        <f t="shared" si="18"/>
        <v>0</v>
      </c>
      <c r="AF25" s="195">
        <v>0.8</v>
      </c>
      <c r="AG25" s="224">
        <f t="shared" si="19"/>
        <v>0</v>
      </c>
      <c r="AH25" s="221">
        <f t="shared" si="20"/>
        <v>0.19999999999999996</v>
      </c>
      <c r="AI25" s="227">
        <f t="shared" si="11"/>
        <v>0</v>
      </c>
      <c r="AJ25" s="189">
        <v>1</v>
      </c>
      <c r="AK25" s="224">
        <f t="shared" si="21"/>
        <v>0</v>
      </c>
      <c r="AL25" s="221">
        <f t="shared" si="22"/>
        <v>0</v>
      </c>
      <c r="AM25" s="227">
        <f t="shared" si="23"/>
        <v>0</v>
      </c>
      <c r="AN25" s="189">
        <v>1</v>
      </c>
      <c r="AO25" s="224">
        <f t="shared" si="24"/>
        <v>0</v>
      </c>
      <c r="AP25" s="221">
        <f t="shared" si="25"/>
        <v>0</v>
      </c>
      <c r="AQ25" s="227">
        <f t="shared" si="26"/>
        <v>0</v>
      </c>
      <c r="AR25" s="189">
        <v>0.9</v>
      </c>
      <c r="AS25" s="224">
        <f t="shared" si="12"/>
        <v>0</v>
      </c>
      <c r="AT25" s="221">
        <f t="shared" si="27"/>
        <v>0.09999999999999998</v>
      </c>
      <c r="AU25" s="227">
        <f t="shared" si="13"/>
        <v>0</v>
      </c>
      <c r="AV25" s="189">
        <v>1</v>
      </c>
      <c r="AW25" s="494">
        <f t="shared" si="14"/>
        <v>0</v>
      </c>
      <c r="AX25" s="221">
        <f t="shared" si="28"/>
        <v>0</v>
      </c>
      <c r="AY25" s="495">
        <f t="shared" si="15"/>
        <v>0</v>
      </c>
      <c r="AZ25" s="488">
        <v>0</v>
      </c>
      <c r="BA25" s="488">
        <v>0</v>
      </c>
      <c r="BB25" s="488">
        <v>0</v>
      </c>
      <c r="BC25" s="488">
        <v>0</v>
      </c>
      <c r="BD25" s="488">
        <v>0</v>
      </c>
      <c r="BE25" s="309">
        <v>1</v>
      </c>
      <c r="BF25" s="309">
        <v>0.98</v>
      </c>
      <c r="BG25" s="309">
        <v>0.95</v>
      </c>
      <c r="BH25" s="309">
        <v>0.95</v>
      </c>
      <c r="BI25" s="309">
        <v>0.95</v>
      </c>
      <c r="BJ25" s="309">
        <v>0.95</v>
      </c>
      <c r="BK25" s="309">
        <v>0.9</v>
      </c>
      <c r="BL25" s="309">
        <v>0.9</v>
      </c>
      <c r="BM25" s="309">
        <v>0.9</v>
      </c>
      <c r="BN25" s="709">
        <v>0</v>
      </c>
      <c r="BO25" s="717">
        <f>AK25*1000*Preisannahmen!K24*BF25</f>
        <v>0</v>
      </c>
      <c r="BP25" s="196">
        <f>AM25*1000*Preisannahmen!E24*BG25</f>
        <v>0</v>
      </c>
      <c r="BQ25" s="196">
        <f>AO25*1000*Preisannahmen!K19*BH25</f>
        <v>0</v>
      </c>
      <c r="BR25" s="718">
        <f>AQ25*1000*Preisannahmen!E19*BI25</f>
        <v>0</v>
      </c>
      <c r="BS25" s="725">
        <f>Y25*1000*Preisannahmen!$K$34*BN25</f>
        <v>0</v>
      </c>
      <c r="BT25" s="717">
        <f>AS25*1000*Preisannahmen!K35*BJ25</f>
        <v>0</v>
      </c>
      <c r="BU25" s="196">
        <f>AU25*1000*Preisannahmen!E35*BK25</f>
        <v>0</v>
      </c>
      <c r="BV25" s="196">
        <f>AW25*1000*Preisannahmen!K36*BL25</f>
        <v>0</v>
      </c>
      <c r="BW25" s="718">
        <f>AY25*1000*Preisannahmen!$E$36*BM25</f>
        <v>0</v>
      </c>
      <c r="BX25" s="717">
        <f>O25*1000*Preisannahmen!$N$38*AZ25</f>
        <v>0</v>
      </c>
      <c r="BY25" s="196">
        <f>P25*1000*Preisannahmen!$N$39*BA25</f>
        <v>0</v>
      </c>
      <c r="BZ25" s="196">
        <f>Q25*1000*Preisannahmen!$N$40*BB25</f>
        <v>0</v>
      </c>
      <c r="CA25" s="196">
        <f>R25*1000*Preisannahmen!$N$41*BC25</f>
        <v>0</v>
      </c>
      <c r="CB25" s="718">
        <f>S25*1000*Preisannahmen!$N$42*BD25</f>
        <v>0</v>
      </c>
      <c r="CC25" s="725">
        <f>T25*1000*Preisannahmen!$N$43*BE25</f>
        <v>0</v>
      </c>
      <c r="CD25" s="451">
        <f t="shared" si="33"/>
        <v>0</v>
      </c>
      <c r="CE25" s="817">
        <f>SUM(CD25:CD32)</f>
        <v>829252.1847424</v>
      </c>
    </row>
    <row r="26" spans="2:83" ht="12.75">
      <c r="B26" s="176" t="s">
        <v>90</v>
      </c>
      <c r="C26" s="182">
        <v>2010</v>
      </c>
      <c r="D26" s="160">
        <v>60</v>
      </c>
      <c r="E26" s="479">
        <f>D26/(1-Betriebsaufwand!$L$3)</f>
        <v>92.3076923076923</v>
      </c>
      <c r="F26" s="476">
        <f t="shared" si="16"/>
        <v>0.78</v>
      </c>
      <c r="G26" s="163">
        <f t="shared" si="29"/>
        <v>46.800000000000004</v>
      </c>
      <c r="H26" s="124">
        <f>H10</f>
        <v>0.22</v>
      </c>
      <c r="I26" s="162">
        <f t="shared" si="30"/>
        <v>13.2</v>
      </c>
      <c r="J26" s="119">
        <f>J10</f>
        <v>0.74</v>
      </c>
      <c r="K26" s="168">
        <f t="shared" si="31"/>
        <v>44.4</v>
      </c>
      <c r="L26" s="120">
        <f t="shared" si="17"/>
        <v>0.26</v>
      </c>
      <c r="M26" s="485">
        <f t="shared" si="34"/>
        <v>15.600000000000001</v>
      </c>
      <c r="N26" s="305">
        <f t="shared" si="0"/>
        <v>44.4</v>
      </c>
      <c r="O26" s="211">
        <f t="shared" si="1"/>
        <v>0</v>
      </c>
      <c r="P26" s="211">
        <f t="shared" si="2"/>
        <v>0</v>
      </c>
      <c r="Q26" s="211">
        <f t="shared" si="3"/>
        <v>0</v>
      </c>
      <c r="R26" s="212">
        <f t="shared" si="4"/>
        <v>0</v>
      </c>
      <c r="S26" s="211">
        <f t="shared" si="5"/>
        <v>0</v>
      </c>
      <c r="T26" s="213">
        <f t="shared" si="6"/>
        <v>44.4</v>
      </c>
      <c r="U26" s="171">
        <f>U10</f>
        <v>0.36</v>
      </c>
      <c r="V26" s="126">
        <f t="shared" si="7"/>
        <v>3.801599999999999</v>
      </c>
      <c r="W26" s="126">
        <f>V26/Preisannahmen!P6</f>
        <v>4.168421052631578</v>
      </c>
      <c r="X26" s="173">
        <f t="shared" si="32"/>
        <v>0.64</v>
      </c>
      <c r="Y26" s="129">
        <f t="shared" si="8"/>
        <v>6.758399999999999</v>
      </c>
      <c r="Z26" s="153">
        <v>0</v>
      </c>
      <c r="AA26" s="233">
        <f t="shared" si="9"/>
        <v>0</v>
      </c>
      <c r="AB26" s="143">
        <v>0.2</v>
      </c>
      <c r="AC26" s="291">
        <f t="shared" si="10"/>
        <v>2.64</v>
      </c>
      <c r="AD26" s="301">
        <f>AD10</f>
        <v>0.05</v>
      </c>
      <c r="AE26" s="129">
        <f t="shared" si="18"/>
        <v>2.508</v>
      </c>
      <c r="AF26" s="153">
        <v>0.8</v>
      </c>
      <c r="AG26" s="225">
        <f t="shared" si="19"/>
        <v>3.0412799999999995</v>
      </c>
      <c r="AH26" s="222">
        <f t="shared" si="20"/>
        <v>0.19999999999999996</v>
      </c>
      <c r="AI26" s="228">
        <f t="shared" si="11"/>
        <v>0.7603199999999997</v>
      </c>
      <c r="AJ26" s="143">
        <v>1</v>
      </c>
      <c r="AK26" s="225">
        <f t="shared" si="21"/>
        <v>3.0412799999999995</v>
      </c>
      <c r="AL26" s="222">
        <f t="shared" si="22"/>
        <v>0</v>
      </c>
      <c r="AM26" s="228">
        <f t="shared" si="23"/>
        <v>0</v>
      </c>
      <c r="AN26" s="143">
        <v>1</v>
      </c>
      <c r="AO26" s="225">
        <f t="shared" si="24"/>
        <v>0.7603199999999997</v>
      </c>
      <c r="AP26" s="222">
        <f t="shared" si="25"/>
        <v>0</v>
      </c>
      <c r="AQ26" s="228">
        <f t="shared" si="26"/>
        <v>0</v>
      </c>
      <c r="AR26" s="143">
        <v>0.9</v>
      </c>
      <c r="AS26" s="225">
        <f t="shared" si="12"/>
        <v>0</v>
      </c>
      <c r="AT26" s="222">
        <f t="shared" si="27"/>
        <v>0.09999999999999998</v>
      </c>
      <c r="AU26" s="228">
        <f t="shared" si="13"/>
        <v>0</v>
      </c>
      <c r="AV26" s="143">
        <v>1</v>
      </c>
      <c r="AW26" s="496">
        <f t="shared" si="14"/>
        <v>2.508</v>
      </c>
      <c r="AX26" s="222">
        <f t="shared" si="28"/>
        <v>0</v>
      </c>
      <c r="AY26" s="497">
        <f t="shared" si="15"/>
        <v>0</v>
      </c>
      <c r="AZ26" s="489">
        <v>0</v>
      </c>
      <c r="BA26" s="489">
        <v>0</v>
      </c>
      <c r="BB26" s="489">
        <v>0</v>
      </c>
      <c r="BC26" s="489">
        <v>0</v>
      </c>
      <c r="BD26" s="489">
        <v>0</v>
      </c>
      <c r="BE26" s="310">
        <v>1</v>
      </c>
      <c r="BF26" s="310">
        <v>0.98</v>
      </c>
      <c r="BG26" s="310">
        <v>0.95</v>
      </c>
      <c r="BH26" s="310">
        <v>0.95</v>
      </c>
      <c r="BI26" s="310">
        <v>0.95</v>
      </c>
      <c r="BJ26" s="310">
        <v>0.95</v>
      </c>
      <c r="BK26" s="310">
        <v>0.9</v>
      </c>
      <c r="BL26" s="310">
        <v>0.9</v>
      </c>
      <c r="BM26" s="310">
        <v>0.9</v>
      </c>
      <c r="BN26" s="710">
        <v>0</v>
      </c>
      <c r="BO26" s="719">
        <f>AK26*1000*Preisannahmen!K22*BF26</f>
        <v>48927.1394304</v>
      </c>
      <c r="BP26" s="130">
        <f>AM26*1000*Preisannahmen!E22*BG26</f>
        <v>0</v>
      </c>
      <c r="BQ26" s="130">
        <f>AO26*1000*Preisannahmen!K17*BH26</f>
        <v>11857.342463999996</v>
      </c>
      <c r="BR26" s="720">
        <f>AQ26*1000*Preisannahmen!E17*BI26</f>
        <v>0</v>
      </c>
      <c r="BS26" s="726">
        <f>Y26*1000*Preisannahmen!$K$34*BN26</f>
        <v>0</v>
      </c>
      <c r="BT26" s="719">
        <f>AS26*1000*Preisannahmen!K35*BJ26</f>
        <v>0</v>
      </c>
      <c r="BU26" s="130">
        <f>AU26*1000*Preisannahmen!E35*BK26</f>
        <v>0</v>
      </c>
      <c r="BV26" s="130">
        <f>AW26*1000*Preisannahmen!K36*BL26</f>
        <v>20314.8</v>
      </c>
      <c r="BW26" s="720">
        <f>AY26*1000*Preisannahmen!$E$36*BM26</f>
        <v>0</v>
      </c>
      <c r="BX26" s="719">
        <f>O26*1000*Preisannahmen!$N$38*AZ26</f>
        <v>0</v>
      </c>
      <c r="BY26" s="130">
        <f>P26*1000*Preisannahmen!$N$39*BA26</f>
        <v>0</v>
      </c>
      <c r="BZ26" s="130">
        <f>Q26*1000*Preisannahmen!$N$40*BB26</f>
        <v>0</v>
      </c>
      <c r="CA26" s="130">
        <f>R26*1000*Preisannahmen!$N$41*BC26</f>
        <v>0</v>
      </c>
      <c r="CB26" s="720">
        <f>S26*1000*Preisannahmen!$N$42*BD26</f>
        <v>0</v>
      </c>
      <c r="CC26" s="726">
        <f>T26*1000*Preisannahmen!$N$43*BE26</f>
        <v>8880</v>
      </c>
      <c r="CD26" s="449">
        <f t="shared" si="33"/>
        <v>89979.28189439999</v>
      </c>
      <c r="CE26" s="820"/>
    </row>
    <row r="27" spans="2:83" ht="12.75">
      <c r="B27" s="177" t="s">
        <v>91</v>
      </c>
      <c r="C27" s="182">
        <v>2010</v>
      </c>
      <c r="D27" s="160">
        <v>60</v>
      </c>
      <c r="E27" s="479">
        <f>D27/(1-Betriebsaufwand!$L$3)</f>
        <v>92.3076923076923</v>
      </c>
      <c r="F27" s="476">
        <f t="shared" si="16"/>
        <v>0.94</v>
      </c>
      <c r="G27" s="163">
        <f t="shared" si="29"/>
        <v>56.4</v>
      </c>
      <c r="H27" s="124">
        <f>H11</f>
        <v>0.06</v>
      </c>
      <c r="I27" s="162">
        <f t="shared" si="30"/>
        <v>3.5999999999999996</v>
      </c>
      <c r="J27" s="119">
        <f>J11</f>
        <v>0.9</v>
      </c>
      <c r="K27" s="168">
        <f t="shared" si="31"/>
        <v>54</v>
      </c>
      <c r="L27" s="120">
        <f t="shared" si="17"/>
        <v>0.09999999999999998</v>
      </c>
      <c r="M27" s="485">
        <f t="shared" si="34"/>
        <v>5.999999999999998</v>
      </c>
      <c r="N27" s="305">
        <f t="shared" si="0"/>
        <v>54</v>
      </c>
      <c r="O27" s="211">
        <f t="shared" si="1"/>
        <v>0</v>
      </c>
      <c r="P27" s="211">
        <f t="shared" si="2"/>
        <v>0</v>
      </c>
      <c r="Q27" s="211">
        <f t="shared" si="3"/>
        <v>0</v>
      </c>
      <c r="R27" s="212">
        <f t="shared" si="4"/>
        <v>0</v>
      </c>
      <c r="S27" s="211">
        <f t="shared" si="5"/>
        <v>0</v>
      </c>
      <c r="T27" s="213">
        <f t="shared" si="6"/>
        <v>54</v>
      </c>
      <c r="U27" s="171">
        <f>U11</f>
        <v>0.35</v>
      </c>
      <c r="V27" s="126">
        <f t="shared" si="7"/>
        <v>1.008</v>
      </c>
      <c r="W27" s="126">
        <f>V27/Preisannahmen!P7</f>
        <v>1.0897297297297297</v>
      </c>
      <c r="X27" s="173">
        <f t="shared" si="32"/>
        <v>0.65</v>
      </c>
      <c r="Y27" s="129">
        <f t="shared" si="8"/>
        <v>1.8719999999999999</v>
      </c>
      <c r="Z27" s="153">
        <v>0</v>
      </c>
      <c r="AA27" s="233">
        <f t="shared" si="9"/>
        <v>0</v>
      </c>
      <c r="AB27" s="143">
        <v>0.2</v>
      </c>
      <c r="AC27" s="292">
        <f t="shared" si="10"/>
        <v>0.72</v>
      </c>
      <c r="AD27" s="301">
        <f>AD11</f>
        <v>0.05</v>
      </c>
      <c r="AE27" s="129">
        <f t="shared" si="18"/>
        <v>0.6839999999999999</v>
      </c>
      <c r="AF27" s="153">
        <v>0.8</v>
      </c>
      <c r="AG27" s="225">
        <f t="shared" si="19"/>
        <v>0.8064</v>
      </c>
      <c r="AH27" s="222">
        <f t="shared" si="20"/>
        <v>0.19999999999999996</v>
      </c>
      <c r="AI27" s="228">
        <f t="shared" si="11"/>
        <v>0.20159999999999995</v>
      </c>
      <c r="AJ27" s="143">
        <v>1</v>
      </c>
      <c r="AK27" s="225">
        <f t="shared" si="21"/>
        <v>0.8064</v>
      </c>
      <c r="AL27" s="222">
        <f t="shared" si="22"/>
        <v>0</v>
      </c>
      <c r="AM27" s="228">
        <f t="shared" si="23"/>
        <v>0</v>
      </c>
      <c r="AN27" s="143">
        <v>1</v>
      </c>
      <c r="AO27" s="225">
        <f t="shared" si="24"/>
        <v>0.20159999999999995</v>
      </c>
      <c r="AP27" s="222">
        <f t="shared" si="25"/>
        <v>0</v>
      </c>
      <c r="AQ27" s="228">
        <f t="shared" si="26"/>
        <v>0</v>
      </c>
      <c r="AR27" s="143">
        <v>0.9</v>
      </c>
      <c r="AS27" s="225">
        <f t="shared" si="12"/>
        <v>0</v>
      </c>
      <c r="AT27" s="222">
        <f t="shared" si="27"/>
        <v>0.09999999999999998</v>
      </c>
      <c r="AU27" s="228">
        <f t="shared" si="13"/>
        <v>0</v>
      </c>
      <c r="AV27" s="143">
        <v>1</v>
      </c>
      <c r="AW27" s="496">
        <f t="shared" si="14"/>
        <v>0.6839999999999999</v>
      </c>
      <c r="AX27" s="222">
        <f t="shared" si="28"/>
        <v>0</v>
      </c>
      <c r="AY27" s="497">
        <f t="shared" si="15"/>
        <v>0</v>
      </c>
      <c r="AZ27" s="489">
        <v>0</v>
      </c>
      <c r="BA27" s="489">
        <v>0</v>
      </c>
      <c r="BB27" s="489">
        <v>0</v>
      </c>
      <c r="BC27" s="489">
        <v>0</v>
      </c>
      <c r="BD27" s="489">
        <v>0</v>
      </c>
      <c r="BE27" s="310">
        <v>1</v>
      </c>
      <c r="BF27" s="310">
        <v>0.98</v>
      </c>
      <c r="BG27" s="310">
        <v>0.95</v>
      </c>
      <c r="BH27" s="310">
        <v>0.95</v>
      </c>
      <c r="BI27" s="310">
        <v>0.95</v>
      </c>
      <c r="BJ27" s="310">
        <v>0.95</v>
      </c>
      <c r="BK27" s="310">
        <v>0.9</v>
      </c>
      <c r="BL27" s="310">
        <v>0.9</v>
      </c>
      <c r="BM27" s="310">
        <v>0.9</v>
      </c>
      <c r="BN27" s="710">
        <v>0</v>
      </c>
      <c r="BO27" s="719">
        <f>AK27*1000*Preisannahmen!K23*BF27</f>
        <v>14620.032</v>
      </c>
      <c r="BP27" s="130">
        <f>AM27*1000*Preisannahmen!E23*BG27</f>
        <v>0</v>
      </c>
      <c r="BQ27" s="130">
        <f>AO27*1000*Preisannahmen!K18*BH27</f>
        <v>3543.119999999999</v>
      </c>
      <c r="BR27" s="720">
        <f>AQ27*1000*Preisannahmen!E18*BI27</f>
        <v>0</v>
      </c>
      <c r="BS27" s="726">
        <f>Y27*1000*Preisannahmen!$K$34*BN27</f>
        <v>0</v>
      </c>
      <c r="BT27" s="719">
        <f>AS27*1000*Preisannahmen!K35*BJ27</f>
        <v>0</v>
      </c>
      <c r="BU27" s="130">
        <f>AU27*1000*Preisannahmen!E35*BK27</f>
        <v>0</v>
      </c>
      <c r="BV27" s="130">
        <f>AW27*1000*Preisannahmen!K36*BL27</f>
        <v>5540.4</v>
      </c>
      <c r="BW27" s="720">
        <f>AY27*1000*Preisannahmen!$E$36*BM27</f>
        <v>0</v>
      </c>
      <c r="BX27" s="719">
        <f>O27*1000*Preisannahmen!$N$38*AZ27</f>
        <v>0</v>
      </c>
      <c r="BY27" s="130">
        <f>P27*1000*Preisannahmen!$N$39*BA27</f>
        <v>0</v>
      </c>
      <c r="BZ27" s="130">
        <f>Q27*1000*Preisannahmen!$N$40*BB27</f>
        <v>0</v>
      </c>
      <c r="CA27" s="130">
        <f>R27*1000*Preisannahmen!$N$41*BC27</f>
        <v>0</v>
      </c>
      <c r="CB27" s="720">
        <f>S27*1000*Preisannahmen!$N$42*BD27</f>
        <v>0</v>
      </c>
      <c r="CC27" s="726">
        <f>T27*1000*Preisannahmen!$N$43*BE27</f>
        <v>10800</v>
      </c>
      <c r="CD27" s="449">
        <f t="shared" si="33"/>
        <v>34503.551999999996</v>
      </c>
      <c r="CE27" s="820"/>
    </row>
    <row r="28" spans="2:83" ht="12.75">
      <c r="B28" s="178" t="s">
        <v>92</v>
      </c>
      <c r="C28" s="182">
        <v>2010</v>
      </c>
      <c r="D28" s="160">
        <v>50</v>
      </c>
      <c r="E28" s="479">
        <f>D28/(1-Betriebsaufwand!$L$3)</f>
        <v>76.92307692307692</v>
      </c>
      <c r="F28" s="476">
        <f t="shared" si="16"/>
        <v>0.79</v>
      </c>
      <c r="G28" s="163">
        <f t="shared" si="29"/>
        <v>39.5</v>
      </c>
      <c r="H28" s="124">
        <f>H12</f>
        <v>0.21</v>
      </c>
      <c r="I28" s="162">
        <f t="shared" si="30"/>
        <v>10.5</v>
      </c>
      <c r="J28" s="119">
        <f>J12</f>
        <v>0.75</v>
      </c>
      <c r="K28" s="168">
        <f t="shared" si="31"/>
        <v>37.5</v>
      </c>
      <c r="L28" s="120">
        <f t="shared" si="17"/>
        <v>0.25</v>
      </c>
      <c r="M28" s="485">
        <f t="shared" si="34"/>
        <v>12.5</v>
      </c>
      <c r="N28" s="305">
        <f t="shared" si="0"/>
        <v>37.5</v>
      </c>
      <c r="O28" s="211">
        <f t="shared" si="1"/>
        <v>0</v>
      </c>
      <c r="P28" s="211">
        <f t="shared" si="2"/>
        <v>0</v>
      </c>
      <c r="Q28" s="211">
        <f t="shared" si="3"/>
        <v>0</v>
      </c>
      <c r="R28" s="212">
        <f t="shared" si="4"/>
        <v>0</v>
      </c>
      <c r="S28" s="211">
        <f t="shared" si="5"/>
        <v>0</v>
      </c>
      <c r="T28" s="213">
        <f t="shared" si="6"/>
        <v>37.5</v>
      </c>
      <c r="U28" s="171">
        <f>U12</f>
        <v>0.28</v>
      </c>
      <c r="V28" s="126">
        <f t="shared" si="7"/>
        <v>2.3520000000000003</v>
      </c>
      <c r="W28" s="126">
        <f>V28/Preisannahmen!P9</f>
        <v>2.567685589519651</v>
      </c>
      <c r="X28" s="173">
        <f t="shared" si="32"/>
        <v>0.72</v>
      </c>
      <c r="Y28" s="129">
        <f t="shared" si="8"/>
        <v>6.048</v>
      </c>
      <c r="Z28" s="153">
        <v>0</v>
      </c>
      <c r="AA28" s="233">
        <f t="shared" si="9"/>
        <v>0</v>
      </c>
      <c r="AB28" s="143">
        <v>0.2</v>
      </c>
      <c r="AC28" s="291">
        <f t="shared" si="10"/>
        <v>2.1</v>
      </c>
      <c r="AD28" s="301">
        <f>AD12</f>
        <v>0.05</v>
      </c>
      <c r="AE28" s="129">
        <f t="shared" si="18"/>
        <v>1.9949999999999999</v>
      </c>
      <c r="AF28" s="153">
        <v>0.8</v>
      </c>
      <c r="AG28" s="225">
        <f t="shared" si="19"/>
        <v>1.8816000000000004</v>
      </c>
      <c r="AH28" s="222">
        <f t="shared" si="20"/>
        <v>0.19999999999999996</v>
      </c>
      <c r="AI28" s="228">
        <f t="shared" si="11"/>
        <v>0.4704</v>
      </c>
      <c r="AJ28" s="143">
        <v>1</v>
      </c>
      <c r="AK28" s="225">
        <f t="shared" si="21"/>
        <v>1.8816000000000004</v>
      </c>
      <c r="AL28" s="222">
        <f t="shared" si="22"/>
        <v>0</v>
      </c>
      <c r="AM28" s="228">
        <f t="shared" si="23"/>
        <v>0</v>
      </c>
      <c r="AN28" s="143">
        <v>1</v>
      </c>
      <c r="AO28" s="225">
        <f t="shared" si="24"/>
        <v>0.4704</v>
      </c>
      <c r="AP28" s="222">
        <f t="shared" si="25"/>
        <v>0</v>
      </c>
      <c r="AQ28" s="228">
        <f t="shared" si="26"/>
        <v>0</v>
      </c>
      <c r="AR28" s="143">
        <v>0.9</v>
      </c>
      <c r="AS28" s="225">
        <f t="shared" si="12"/>
        <v>0</v>
      </c>
      <c r="AT28" s="222">
        <f t="shared" si="27"/>
        <v>0.09999999999999998</v>
      </c>
      <c r="AU28" s="228">
        <f t="shared" si="13"/>
        <v>0</v>
      </c>
      <c r="AV28" s="143">
        <v>1</v>
      </c>
      <c r="AW28" s="496">
        <f t="shared" si="14"/>
        <v>1.9949999999999999</v>
      </c>
      <c r="AX28" s="222">
        <f t="shared" si="28"/>
        <v>0</v>
      </c>
      <c r="AY28" s="497">
        <f t="shared" si="15"/>
        <v>0</v>
      </c>
      <c r="AZ28" s="489">
        <v>0</v>
      </c>
      <c r="BA28" s="489">
        <v>0</v>
      </c>
      <c r="BB28" s="489">
        <v>0</v>
      </c>
      <c r="BC28" s="489">
        <v>0</v>
      </c>
      <c r="BD28" s="489">
        <v>0</v>
      </c>
      <c r="BE28" s="310">
        <v>1</v>
      </c>
      <c r="BF28" s="310">
        <v>0.98</v>
      </c>
      <c r="BG28" s="310">
        <v>0.95</v>
      </c>
      <c r="BH28" s="310">
        <v>0.95</v>
      </c>
      <c r="BI28" s="310">
        <v>0.95</v>
      </c>
      <c r="BJ28" s="310">
        <v>0.95</v>
      </c>
      <c r="BK28" s="310">
        <v>0.9</v>
      </c>
      <c r="BL28" s="310">
        <v>0.9</v>
      </c>
      <c r="BM28" s="310">
        <v>0.9</v>
      </c>
      <c r="BN28" s="710">
        <v>0</v>
      </c>
      <c r="BO28" s="719">
        <f>AK28*1000*Preisannahmen!K25*BF28</f>
        <v>37159.643136000006</v>
      </c>
      <c r="BP28" s="130">
        <f>AM28*1000*Preisannahmen!E25*BG28</f>
        <v>0</v>
      </c>
      <c r="BQ28" s="130">
        <f>AO28*1000*Preisannahmen!K20*BH28</f>
        <v>9005.525759999999</v>
      </c>
      <c r="BR28" s="720">
        <f>AQ28*1000*Preisannahmen!E20*BI28</f>
        <v>0</v>
      </c>
      <c r="BS28" s="726">
        <f>Y28*1000*Preisannahmen!$K$34*BN28</f>
        <v>0</v>
      </c>
      <c r="BT28" s="719">
        <f>AS28*1000*Preisannahmen!K35*BJ28</f>
        <v>0</v>
      </c>
      <c r="BU28" s="130">
        <f>AU28*1000*Preisannahmen!E35*BK28</f>
        <v>0</v>
      </c>
      <c r="BV28" s="130">
        <f>AW28*1000*Preisannahmen!K36*BL28</f>
        <v>16159.499999999996</v>
      </c>
      <c r="BW28" s="720">
        <f>AY28*1000*Preisannahmen!$E$36*BM28</f>
        <v>0</v>
      </c>
      <c r="BX28" s="719">
        <f>O28*1000*Preisannahmen!$N$38*AZ28</f>
        <v>0</v>
      </c>
      <c r="BY28" s="130">
        <f>P28*1000*Preisannahmen!$N$39*BA28</f>
        <v>0</v>
      </c>
      <c r="BZ28" s="130">
        <f>Q28*1000*Preisannahmen!$N$40*BB28</f>
        <v>0</v>
      </c>
      <c r="CA28" s="130">
        <f>R28*1000*Preisannahmen!$N$41*BC28</f>
        <v>0</v>
      </c>
      <c r="CB28" s="720">
        <f>S28*1000*Preisannahmen!$N$42*BD28</f>
        <v>0</v>
      </c>
      <c r="CC28" s="726">
        <f>T28*1000*Preisannahmen!$N$43*BE28</f>
        <v>7500</v>
      </c>
      <c r="CD28" s="449">
        <f t="shared" si="33"/>
        <v>69824.668896</v>
      </c>
      <c r="CE28" s="820"/>
    </row>
    <row r="29" spans="2:83" ht="12.75">
      <c r="B29" s="179" t="s">
        <v>87</v>
      </c>
      <c r="C29" s="182">
        <v>2010</v>
      </c>
      <c r="D29" s="160">
        <v>0</v>
      </c>
      <c r="E29" s="479">
        <f>D29/(1-Betriebsaufwand!$L$3)</f>
        <v>0</v>
      </c>
      <c r="F29" s="476">
        <f t="shared" si="16"/>
        <v>0.72</v>
      </c>
      <c r="G29" s="163">
        <f t="shared" si="29"/>
        <v>0</v>
      </c>
      <c r="H29" s="124">
        <f>H9</f>
        <v>0.28</v>
      </c>
      <c r="I29" s="162">
        <f t="shared" si="30"/>
        <v>0</v>
      </c>
      <c r="J29" s="119">
        <f>J9</f>
        <v>0.68</v>
      </c>
      <c r="K29" s="168">
        <f t="shared" si="31"/>
        <v>0</v>
      </c>
      <c r="L29" s="120">
        <f t="shared" si="17"/>
        <v>0.31999999999999995</v>
      </c>
      <c r="M29" s="485">
        <f t="shared" si="34"/>
        <v>0</v>
      </c>
      <c r="N29" s="305">
        <f t="shared" si="0"/>
        <v>0</v>
      </c>
      <c r="O29" s="211">
        <f t="shared" si="1"/>
        <v>0</v>
      </c>
      <c r="P29" s="211">
        <f t="shared" si="2"/>
        <v>0</v>
      </c>
      <c r="Q29" s="211">
        <f t="shared" si="3"/>
        <v>0</v>
      </c>
      <c r="R29" s="212">
        <f t="shared" si="4"/>
        <v>0</v>
      </c>
      <c r="S29" s="211">
        <f t="shared" si="5"/>
        <v>0</v>
      </c>
      <c r="T29" s="213">
        <f t="shared" si="6"/>
        <v>0</v>
      </c>
      <c r="U29" s="171">
        <f>U9</f>
        <v>0.2</v>
      </c>
      <c r="V29" s="126">
        <f t="shared" si="7"/>
        <v>0</v>
      </c>
      <c r="W29" s="126">
        <f>V29/Preisannahmen!P8</f>
        <v>0</v>
      </c>
      <c r="X29" s="173">
        <f t="shared" si="32"/>
        <v>0.8</v>
      </c>
      <c r="Y29" s="129">
        <f t="shared" si="8"/>
        <v>0</v>
      </c>
      <c r="Z29" s="153">
        <v>0</v>
      </c>
      <c r="AA29" s="233">
        <f t="shared" si="9"/>
        <v>0</v>
      </c>
      <c r="AB29" s="143">
        <v>0.2</v>
      </c>
      <c r="AC29" s="292">
        <f t="shared" si="10"/>
        <v>0</v>
      </c>
      <c r="AD29" s="301">
        <f>AD9</f>
        <v>0.05</v>
      </c>
      <c r="AE29" s="129">
        <f t="shared" si="18"/>
        <v>0</v>
      </c>
      <c r="AF29" s="153">
        <v>0.8</v>
      </c>
      <c r="AG29" s="225">
        <f t="shared" si="19"/>
        <v>0</v>
      </c>
      <c r="AH29" s="222">
        <f t="shared" si="20"/>
        <v>0.19999999999999996</v>
      </c>
      <c r="AI29" s="228">
        <f t="shared" si="11"/>
        <v>0</v>
      </c>
      <c r="AJ29" s="143">
        <v>1</v>
      </c>
      <c r="AK29" s="225">
        <f t="shared" si="21"/>
        <v>0</v>
      </c>
      <c r="AL29" s="222">
        <f t="shared" si="22"/>
        <v>0</v>
      </c>
      <c r="AM29" s="228">
        <f t="shared" si="23"/>
        <v>0</v>
      </c>
      <c r="AN29" s="143">
        <v>1</v>
      </c>
      <c r="AO29" s="225">
        <f t="shared" si="24"/>
        <v>0</v>
      </c>
      <c r="AP29" s="222">
        <f t="shared" si="25"/>
        <v>0</v>
      </c>
      <c r="AQ29" s="228">
        <f t="shared" si="26"/>
        <v>0</v>
      </c>
      <c r="AR29" s="143">
        <v>0.9</v>
      </c>
      <c r="AS29" s="225">
        <f t="shared" si="12"/>
        <v>0</v>
      </c>
      <c r="AT29" s="222">
        <f t="shared" si="27"/>
        <v>0.09999999999999998</v>
      </c>
      <c r="AU29" s="228">
        <f t="shared" si="13"/>
        <v>0</v>
      </c>
      <c r="AV29" s="143">
        <v>1</v>
      </c>
      <c r="AW29" s="496">
        <f t="shared" si="14"/>
        <v>0</v>
      </c>
      <c r="AX29" s="222">
        <f t="shared" si="28"/>
        <v>0</v>
      </c>
      <c r="AY29" s="497">
        <f t="shared" si="15"/>
        <v>0</v>
      </c>
      <c r="AZ29" s="489">
        <v>0</v>
      </c>
      <c r="BA29" s="489">
        <v>0</v>
      </c>
      <c r="BB29" s="489">
        <v>0</v>
      </c>
      <c r="BC29" s="489">
        <v>0</v>
      </c>
      <c r="BD29" s="489">
        <v>0</v>
      </c>
      <c r="BE29" s="310">
        <v>1</v>
      </c>
      <c r="BF29" s="310">
        <v>0.98</v>
      </c>
      <c r="BG29" s="310">
        <v>0.95</v>
      </c>
      <c r="BH29" s="310">
        <v>0.95</v>
      </c>
      <c r="BI29" s="310">
        <v>0.95</v>
      </c>
      <c r="BJ29" s="310">
        <v>0.95</v>
      </c>
      <c r="BK29" s="310">
        <v>0.9</v>
      </c>
      <c r="BL29" s="310">
        <v>0.9</v>
      </c>
      <c r="BM29" s="310">
        <v>0.9</v>
      </c>
      <c r="BN29" s="710">
        <v>0</v>
      </c>
      <c r="BO29" s="719">
        <f>AK29*1000*Preisannahmen!N24*BF29</f>
        <v>0</v>
      </c>
      <c r="BP29" s="130">
        <f>AM29*1000*Preisannahmen!H24*BG29</f>
        <v>0</v>
      </c>
      <c r="BQ29" s="130">
        <f>AO29*1000*Preisannahmen!N19*BH29</f>
        <v>0</v>
      </c>
      <c r="BR29" s="720">
        <f>AQ29*1000*Preisannahmen!H19*BI29</f>
        <v>0</v>
      </c>
      <c r="BS29" s="726">
        <f>Y29*1000*Preisannahmen!$N$34*BN29</f>
        <v>0</v>
      </c>
      <c r="BT29" s="719">
        <f>AS29*1000*Preisannahmen!N35*BJ29</f>
        <v>0</v>
      </c>
      <c r="BU29" s="130">
        <f>AU29*1000*Preisannahmen!H35*BK29</f>
        <v>0</v>
      </c>
      <c r="BV29" s="130">
        <f>AW29*1000*Preisannahmen!N36*BL29</f>
        <v>0</v>
      </c>
      <c r="BW29" s="720">
        <f>AY29*1000*Preisannahmen!$E$36*BM29</f>
        <v>0</v>
      </c>
      <c r="BX29" s="719">
        <f>O29*1000*Preisannahmen!$N$38*AZ29</f>
        <v>0</v>
      </c>
      <c r="BY29" s="130">
        <f>P29*1000*Preisannahmen!$N$39*BA29</f>
        <v>0</v>
      </c>
      <c r="BZ29" s="130">
        <f>Q29*1000*Preisannahmen!$N$40*BB29</f>
        <v>0</v>
      </c>
      <c r="CA29" s="130">
        <f>R29*1000*Preisannahmen!$N$41*BC29</f>
        <v>0</v>
      </c>
      <c r="CB29" s="720">
        <f>S29*1000*Preisannahmen!$N$42*BD29</f>
        <v>0</v>
      </c>
      <c r="CC29" s="726">
        <f>T29*1000*Preisannahmen!$N$43*BE29</f>
        <v>0</v>
      </c>
      <c r="CD29" s="449">
        <f t="shared" si="33"/>
        <v>0</v>
      </c>
      <c r="CE29" s="820"/>
    </row>
    <row r="30" spans="2:83" ht="12.75">
      <c r="B30" s="176" t="s">
        <v>85</v>
      </c>
      <c r="C30" s="182">
        <v>2010</v>
      </c>
      <c r="D30" s="160">
        <v>250</v>
      </c>
      <c r="E30" s="479">
        <f>D30/(1-Betriebsaufwand!$L$3)</f>
        <v>384.6153846153846</v>
      </c>
      <c r="F30" s="476">
        <f t="shared" si="16"/>
        <v>0.78</v>
      </c>
      <c r="G30" s="163">
        <f t="shared" si="29"/>
        <v>195</v>
      </c>
      <c r="H30" s="124">
        <f>H10</f>
        <v>0.22</v>
      </c>
      <c r="I30" s="162">
        <f t="shared" si="30"/>
        <v>55</v>
      </c>
      <c r="J30" s="119">
        <f>J10</f>
        <v>0.74</v>
      </c>
      <c r="K30" s="168">
        <f t="shared" si="31"/>
        <v>185</v>
      </c>
      <c r="L30" s="120">
        <f t="shared" si="17"/>
        <v>0.26</v>
      </c>
      <c r="M30" s="485">
        <f t="shared" si="34"/>
        <v>65</v>
      </c>
      <c r="N30" s="305">
        <f t="shared" si="0"/>
        <v>185</v>
      </c>
      <c r="O30" s="211">
        <f t="shared" si="1"/>
        <v>0</v>
      </c>
      <c r="P30" s="211">
        <f t="shared" si="2"/>
        <v>0</v>
      </c>
      <c r="Q30" s="211">
        <f t="shared" si="3"/>
        <v>0</v>
      </c>
      <c r="R30" s="212">
        <f t="shared" si="4"/>
        <v>0</v>
      </c>
      <c r="S30" s="211">
        <f t="shared" si="5"/>
        <v>0</v>
      </c>
      <c r="T30" s="213">
        <f t="shared" si="6"/>
        <v>185</v>
      </c>
      <c r="U30" s="171">
        <f>U10</f>
        <v>0.36</v>
      </c>
      <c r="V30" s="126">
        <f t="shared" si="7"/>
        <v>15.84</v>
      </c>
      <c r="W30" s="126">
        <f>V30/Preisannahmen!P6</f>
        <v>17.36842105263158</v>
      </c>
      <c r="X30" s="173">
        <f t="shared" si="32"/>
        <v>0.64</v>
      </c>
      <c r="Y30" s="129">
        <f t="shared" si="8"/>
        <v>28.16</v>
      </c>
      <c r="Z30" s="153">
        <v>0</v>
      </c>
      <c r="AA30" s="233">
        <f t="shared" si="9"/>
        <v>0</v>
      </c>
      <c r="AB30" s="143">
        <v>0.2</v>
      </c>
      <c r="AC30" s="291">
        <f t="shared" si="10"/>
        <v>11</v>
      </c>
      <c r="AD30" s="301">
        <f>AD10</f>
        <v>0.05</v>
      </c>
      <c r="AE30" s="129">
        <f t="shared" si="18"/>
        <v>10.45</v>
      </c>
      <c r="AF30" s="153">
        <v>0.8</v>
      </c>
      <c r="AG30" s="225">
        <f t="shared" si="19"/>
        <v>12.672</v>
      </c>
      <c r="AH30" s="222">
        <f t="shared" si="20"/>
        <v>0.19999999999999996</v>
      </c>
      <c r="AI30" s="228">
        <f t="shared" si="11"/>
        <v>3.1679999999999993</v>
      </c>
      <c r="AJ30" s="143">
        <v>1</v>
      </c>
      <c r="AK30" s="225">
        <f t="shared" si="21"/>
        <v>12.672</v>
      </c>
      <c r="AL30" s="222">
        <f t="shared" si="22"/>
        <v>0</v>
      </c>
      <c r="AM30" s="228">
        <f t="shared" si="23"/>
        <v>0</v>
      </c>
      <c r="AN30" s="143">
        <v>1</v>
      </c>
      <c r="AO30" s="225">
        <f t="shared" si="24"/>
        <v>3.1679999999999993</v>
      </c>
      <c r="AP30" s="222">
        <f t="shared" si="25"/>
        <v>0</v>
      </c>
      <c r="AQ30" s="228">
        <f t="shared" si="26"/>
        <v>0</v>
      </c>
      <c r="AR30" s="143">
        <v>0.9</v>
      </c>
      <c r="AS30" s="225">
        <f t="shared" si="12"/>
        <v>0</v>
      </c>
      <c r="AT30" s="222">
        <f t="shared" si="27"/>
        <v>0.09999999999999998</v>
      </c>
      <c r="AU30" s="228">
        <f t="shared" si="13"/>
        <v>0</v>
      </c>
      <c r="AV30" s="143">
        <v>1</v>
      </c>
      <c r="AW30" s="496">
        <f t="shared" si="14"/>
        <v>10.45</v>
      </c>
      <c r="AX30" s="222">
        <f t="shared" si="28"/>
        <v>0</v>
      </c>
      <c r="AY30" s="497">
        <f t="shared" si="15"/>
        <v>0</v>
      </c>
      <c r="AZ30" s="489">
        <v>0</v>
      </c>
      <c r="BA30" s="489">
        <v>0</v>
      </c>
      <c r="BB30" s="489">
        <v>0</v>
      </c>
      <c r="BC30" s="489">
        <v>0</v>
      </c>
      <c r="BD30" s="489">
        <v>0</v>
      </c>
      <c r="BE30" s="310">
        <v>1</v>
      </c>
      <c r="BF30" s="310">
        <v>0.98</v>
      </c>
      <c r="BG30" s="310">
        <v>0.95</v>
      </c>
      <c r="BH30" s="310">
        <v>0.95</v>
      </c>
      <c r="BI30" s="310">
        <v>0.95</v>
      </c>
      <c r="BJ30" s="310">
        <v>0.95</v>
      </c>
      <c r="BK30" s="310">
        <v>0.9</v>
      </c>
      <c r="BL30" s="310">
        <v>0.9</v>
      </c>
      <c r="BM30" s="310">
        <v>0.9</v>
      </c>
      <c r="BN30" s="710">
        <v>0</v>
      </c>
      <c r="BO30" s="719">
        <f>AK30*1000*Preisannahmen!N22*BF30</f>
        <v>169885.9008</v>
      </c>
      <c r="BP30" s="130">
        <f>AM30*1000*Preisannahmen!H22*BG30</f>
        <v>0</v>
      </c>
      <c r="BQ30" s="130">
        <f>AO30*1000*Preisannahmen!N17*BH30</f>
        <v>43916.08319999999</v>
      </c>
      <c r="BR30" s="720">
        <f>AQ30*1000*Preisannahmen!H17*BI30</f>
        <v>0</v>
      </c>
      <c r="BS30" s="726">
        <f>Y30*1000*Preisannahmen!$N$34*BN30</f>
        <v>0</v>
      </c>
      <c r="BT30" s="719">
        <f>AS30*1000*Preisannahmen!N35*BJ30</f>
        <v>0</v>
      </c>
      <c r="BU30" s="130">
        <f>AU30*1000*Preisannahmen!H35*BK30</f>
        <v>0</v>
      </c>
      <c r="BV30" s="130">
        <f>AW30*1000*Preisannahmen!N36*BL30</f>
        <v>75240</v>
      </c>
      <c r="BW30" s="720">
        <f>AY30*1000*Preisannahmen!$E$36*BM30</f>
        <v>0</v>
      </c>
      <c r="BX30" s="719">
        <f>O30*1000*Preisannahmen!$N$38*AZ30</f>
        <v>0</v>
      </c>
      <c r="BY30" s="130">
        <f>P30*1000*Preisannahmen!$N$39*BA30</f>
        <v>0</v>
      </c>
      <c r="BZ30" s="130">
        <f>Q30*1000*Preisannahmen!$N$40*BB30</f>
        <v>0</v>
      </c>
      <c r="CA30" s="130">
        <f>R30*1000*Preisannahmen!$N$41*BC30</f>
        <v>0</v>
      </c>
      <c r="CB30" s="720">
        <f>S30*1000*Preisannahmen!$N$42*BD30</f>
        <v>0</v>
      </c>
      <c r="CC30" s="726">
        <f>T30*1000*Preisannahmen!$N$43*BE30</f>
        <v>37000</v>
      </c>
      <c r="CD30" s="449">
        <f t="shared" si="33"/>
        <v>326041.984</v>
      </c>
      <c r="CE30" s="820"/>
    </row>
    <row r="31" spans="2:83" ht="12.75">
      <c r="B31" s="177" t="s">
        <v>88</v>
      </c>
      <c r="C31" s="182">
        <v>2010</v>
      </c>
      <c r="D31" s="160">
        <v>250</v>
      </c>
      <c r="E31" s="479">
        <f>D31/(1-Betriebsaufwand!$L$3)</f>
        <v>384.6153846153846</v>
      </c>
      <c r="F31" s="476">
        <f t="shared" si="16"/>
        <v>0.94</v>
      </c>
      <c r="G31" s="163">
        <f t="shared" si="29"/>
        <v>235</v>
      </c>
      <c r="H31" s="124">
        <f>H11</f>
        <v>0.06</v>
      </c>
      <c r="I31" s="162">
        <f t="shared" si="30"/>
        <v>15</v>
      </c>
      <c r="J31" s="119">
        <f>J11</f>
        <v>0.9</v>
      </c>
      <c r="K31" s="168">
        <f t="shared" si="31"/>
        <v>225</v>
      </c>
      <c r="L31" s="120">
        <f t="shared" si="17"/>
        <v>0.09999999999999998</v>
      </c>
      <c r="M31" s="485">
        <f t="shared" si="34"/>
        <v>24.999999999999993</v>
      </c>
      <c r="N31" s="305">
        <f t="shared" si="0"/>
        <v>225</v>
      </c>
      <c r="O31" s="211">
        <f t="shared" si="1"/>
        <v>0</v>
      </c>
      <c r="P31" s="211">
        <f t="shared" si="2"/>
        <v>0</v>
      </c>
      <c r="Q31" s="211">
        <f t="shared" si="3"/>
        <v>0</v>
      </c>
      <c r="R31" s="212">
        <f t="shared" si="4"/>
        <v>0</v>
      </c>
      <c r="S31" s="211">
        <f t="shared" si="5"/>
        <v>0</v>
      </c>
      <c r="T31" s="213">
        <f t="shared" si="6"/>
        <v>225</v>
      </c>
      <c r="U31" s="171">
        <f>U11</f>
        <v>0.35</v>
      </c>
      <c r="V31" s="126">
        <f t="shared" si="7"/>
        <v>4.199999999999999</v>
      </c>
      <c r="W31" s="126">
        <f>V31/Preisannahmen!P7</f>
        <v>4.5405405405405395</v>
      </c>
      <c r="X31" s="173">
        <f t="shared" si="32"/>
        <v>0.65</v>
      </c>
      <c r="Y31" s="129">
        <f t="shared" si="8"/>
        <v>7.800000000000001</v>
      </c>
      <c r="Z31" s="153">
        <v>0</v>
      </c>
      <c r="AA31" s="233">
        <f t="shared" si="9"/>
        <v>0</v>
      </c>
      <c r="AB31" s="143">
        <v>0.2</v>
      </c>
      <c r="AC31" s="292">
        <f t="shared" si="10"/>
        <v>3</v>
      </c>
      <c r="AD31" s="301">
        <f>AD11</f>
        <v>0.05</v>
      </c>
      <c r="AE31" s="129">
        <f t="shared" si="18"/>
        <v>2.8499999999999996</v>
      </c>
      <c r="AF31" s="153">
        <v>0.8</v>
      </c>
      <c r="AG31" s="225">
        <f t="shared" si="19"/>
        <v>3.3599999999999994</v>
      </c>
      <c r="AH31" s="222">
        <f t="shared" si="20"/>
        <v>0.19999999999999996</v>
      </c>
      <c r="AI31" s="228">
        <f t="shared" si="11"/>
        <v>0.8399999999999996</v>
      </c>
      <c r="AJ31" s="143">
        <v>1</v>
      </c>
      <c r="AK31" s="225">
        <f t="shared" si="21"/>
        <v>3.3599999999999994</v>
      </c>
      <c r="AL31" s="222">
        <f t="shared" si="22"/>
        <v>0</v>
      </c>
      <c r="AM31" s="228">
        <f t="shared" si="23"/>
        <v>0</v>
      </c>
      <c r="AN31" s="143">
        <v>1</v>
      </c>
      <c r="AO31" s="225">
        <f t="shared" si="24"/>
        <v>0.8399999999999996</v>
      </c>
      <c r="AP31" s="222">
        <f t="shared" si="25"/>
        <v>0</v>
      </c>
      <c r="AQ31" s="228">
        <f t="shared" si="26"/>
        <v>0</v>
      </c>
      <c r="AR31" s="143">
        <v>0.9</v>
      </c>
      <c r="AS31" s="225">
        <f t="shared" si="12"/>
        <v>0</v>
      </c>
      <c r="AT31" s="222">
        <f t="shared" si="27"/>
        <v>0.09999999999999998</v>
      </c>
      <c r="AU31" s="228">
        <f t="shared" si="13"/>
        <v>0</v>
      </c>
      <c r="AV31" s="143">
        <v>1</v>
      </c>
      <c r="AW31" s="496">
        <f t="shared" si="14"/>
        <v>2.8499999999999996</v>
      </c>
      <c r="AX31" s="222">
        <f t="shared" si="28"/>
        <v>0</v>
      </c>
      <c r="AY31" s="497">
        <f t="shared" si="15"/>
        <v>0</v>
      </c>
      <c r="AZ31" s="489">
        <v>0</v>
      </c>
      <c r="BA31" s="489">
        <v>0</v>
      </c>
      <c r="BB31" s="489">
        <v>0</v>
      </c>
      <c r="BC31" s="489">
        <v>0</v>
      </c>
      <c r="BD31" s="489">
        <v>0</v>
      </c>
      <c r="BE31" s="310">
        <v>1</v>
      </c>
      <c r="BF31" s="310">
        <v>0.98</v>
      </c>
      <c r="BG31" s="310">
        <v>0.95</v>
      </c>
      <c r="BH31" s="310">
        <v>0.95</v>
      </c>
      <c r="BI31" s="310">
        <v>0.95</v>
      </c>
      <c r="BJ31" s="310">
        <v>0.95</v>
      </c>
      <c r="BK31" s="310">
        <v>0.9</v>
      </c>
      <c r="BL31" s="310">
        <v>0.9</v>
      </c>
      <c r="BM31" s="310">
        <v>0.9</v>
      </c>
      <c r="BN31" s="710">
        <v>0</v>
      </c>
      <c r="BO31" s="719">
        <f>AK31*1000*Preisannahmen!N23*BF31</f>
        <v>48733.439999999995</v>
      </c>
      <c r="BP31" s="130">
        <f>AM31*1000*Preisannahmen!H23*BG31</f>
        <v>0</v>
      </c>
      <c r="BQ31" s="130">
        <f>AO31*1000*Preisannahmen!N18*BH31</f>
        <v>13286.699999999995</v>
      </c>
      <c r="BR31" s="720">
        <f>AQ31*1000*Preisannahmen!H18*BI31</f>
        <v>0</v>
      </c>
      <c r="BS31" s="726">
        <f>Y31*1000*Preisannahmen!$N$34*BN31</f>
        <v>0</v>
      </c>
      <c r="BT31" s="719">
        <f>AS31*1000*Preisannahmen!N35*BJ31</f>
        <v>0</v>
      </c>
      <c r="BU31" s="130">
        <f>AU31*1000*Preisannahmen!H35*BK31</f>
        <v>0</v>
      </c>
      <c r="BV31" s="130">
        <f>AW31*1000*Preisannahmen!N36*BL31</f>
        <v>20519.999999999996</v>
      </c>
      <c r="BW31" s="720">
        <f>AY31*1000*Preisannahmen!$E$36*BM31</f>
        <v>0</v>
      </c>
      <c r="BX31" s="719">
        <f>O31*1000*Preisannahmen!$N$38*AZ31</f>
        <v>0</v>
      </c>
      <c r="BY31" s="130">
        <f>P31*1000*Preisannahmen!$N$39*BA31</f>
        <v>0</v>
      </c>
      <c r="BZ31" s="130">
        <f>Q31*1000*Preisannahmen!$N$40*BB31</f>
        <v>0</v>
      </c>
      <c r="CA31" s="130">
        <f>R31*1000*Preisannahmen!$N$41*BC31</f>
        <v>0</v>
      </c>
      <c r="CB31" s="720">
        <f>S31*1000*Preisannahmen!$N$42*BD31</f>
        <v>0</v>
      </c>
      <c r="CC31" s="726">
        <f>T31*1000*Preisannahmen!$N$43*BE31</f>
        <v>45000</v>
      </c>
      <c r="CD31" s="449">
        <f t="shared" si="33"/>
        <v>127540.13999999998</v>
      </c>
      <c r="CE31" s="820"/>
    </row>
    <row r="32" spans="2:83" ht="13.5" thickBot="1">
      <c r="B32" s="180" t="s">
        <v>86</v>
      </c>
      <c r="C32" s="183">
        <v>2010</v>
      </c>
      <c r="D32" s="161">
        <v>150</v>
      </c>
      <c r="E32" s="480">
        <f>D32/(1-Betriebsaufwand!$L$3)</f>
        <v>230.76923076923077</v>
      </c>
      <c r="F32" s="477">
        <f t="shared" si="16"/>
        <v>0.79</v>
      </c>
      <c r="G32" s="164">
        <f t="shared" si="29"/>
        <v>118.5</v>
      </c>
      <c r="H32" s="131">
        <f>H12</f>
        <v>0.21</v>
      </c>
      <c r="I32" s="166">
        <f t="shared" si="30"/>
        <v>31.5</v>
      </c>
      <c r="J32" s="125">
        <f>J12</f>
        <v>0.75</v>
      </c>
      <c r="K32" s="169">
        <f t="shared" si="31"/>
        <v>112.5</v>
      </c>
      <c r="L32" s="132">
        <f t="shared" si="17"/>
        <v>0.25</v>
      </c>
      <c r="M32" s="486">
        <f t="shared" si="34"/>
        <v>37.5</v>
      </c>
      <c r="N32" s="306">
        <f t="shared" si="0"/>
        <v>112.5</v>
      </c>
      <c r="O32" s="214">
        <f t="shared" si="1"/>
        <v>0</v>
      </c>
      <c r="P32" s="214">
        <f t="shared" si="2"/>
        <v>0</v>
      </c>
      <c r="Q32" s="214">
        <f t="shared" si="3"/>
        <v>0</v>
      </c>
      <c r="R32" s="215">
        <f t="shared" si="4"/>
        <v>0</v>
      </c>
      <c r="S32" s="214">
        <f t="shared" si="5"/>
        <v>0</v>
      </c>
      <c r="T32" s="216">
        <f t="shared" si="6"/>
        <v>112.5</v>
      </c>
      <c r="U32" s="172">
        <f>U12</f>
        <v>0.28</v>
      </c>
      <c r="V32" s="127">
        <f t="shared" si="7"/>
        <v>7.056</v>
      </c>
      <c r="W32" s="127">
        <f>V32/Preisannahmen!P9</f>
        <v>7.703056768558952</v>
      </c>
      <c r="X32" s="174">
        <f t="shared" si="32"/>
        <v>0.72</v>
      </c>
      <c r="Y32" s="135">
        <f t="shared" si="8"/>
        <v>18.144</v>
      </c>
      <c r="Z32" s="154">
        <v>0</v>
      </c>
      <c r="AA32" s="234">
        <f t="shared" si="9"/>
        <v>0</v>
      </c>
      <c r="AB32" s="144">
        <v>0.2</v>
      </c>
      <c r="AC32" s="293">
        <f t="shared" si="10"/>
        <v>6.300000000000001</v>
      </c>
      <c r="AD32" s="302">
        <f>AD12</f>
        <v>0.05</v>
      </c>
      <c r="AE32" s="135">
        <f t="shared" si="18"/>
        <v>5.985</v>
      </c>
      <c r="AF32" s="154">
        <v>0.8</v>
      </c>
      <c r="AG32" s="226">
        <f t="shared" si="19"/>
        <v>5.6448</v>
      </c>
      <c r="AH32" s="223">
        <f t="shared" si="20"/>
        <v>0.19999999999999996</v>
      </c>
      <c r="AI32" s="229">
        <f t="shared" si="11"/>
        <v>1.4111999999999998</v>
      </c>
      <c r="AJ32" s="144">
        <v>1</v>
      </c>
      <c r="AK32" s="226">
        <f t="shared" si="21"/>
        <v>5.6448</v>
      </c>
      <c r="AL32" s="223">
        <f t="shared" si="22"/>
        <v>0</v>
      </c>
      <c r="AM32" s="229">
        <f t="shared" si="23"/>
        <v>0</v>
      </c>
      <c r="AN32" s="144">
        <v>1</v>
      </c>
      <c r="AO32" s="226">
        <f t="shared" si="24"/>
        <v>1.4111999999999998</v>
      </c>
      <c r="AP32" s="223">
        <f t="shared" si="25"/>
        <v>0</v>
      </c>
      <c r="AQ32" s="229">
        <f t="shared" si="26"/>
        <v>0</v>
      </c>
      <c r="AR32" s="144">
        <v>0.9</v>
      </c>
      <c r="AS32" s="226">
        <f t="shared" si="12"/>
        <v>0</v>
      </c>
      <c r="AT32" s="223">
        <f t="shared" si="27"/>
        <v>0.09999999999999998</v>
      </c>
      <c r="AU32" s="229">
        <f t="shared" si="13"/>
        <v>0</v>
      </c>
      <c r="AV32" s="144">
        <v>1</v>
      </c>
      <c r="AW32" s="498">
        <f t="shared" si="14"/>
        <v>5.985</v>
      </c>
      <c r="AX32" s="223">
        <f t="shared" si="28"/>
        <v>0</v>
      </c>
      <c r="AY32" s="499">
        <f t="shared" si="15"/>
        <v>0</v>
      </c>
      <c r="AZ32" s="490">
        <v>0</v>
      </c>
      <c r="BA32" s="490">
        <v>0</v>
      </c>
      <c r="BB32" s="490">
        <v>0</v>
      </c>
      <c r="BC32" s="490">
        <v>0</v>
      </c>
      <c r="BD32" s="490">
        <v>0</v>
      </c>
      <c r="BE32" s="311">
        <v>1</v>
      </c>
      <c r="BF32" s="311">
        <v>0.98</v>
      </c>
      <c r="BG32" s="311">
        <v>0.95</v>
      </c>
      <c r="BH32" s="311">
        <v>0.95</v>
      </c>
      <c r="BI32" s="311">
        <v>0.95</v>
      </c>
      <c r="BJ32" s="311">
        <v>0.95</v>
      </c>
      <c r="BK32" s="311">
        <v>0.9</v>
      </c>
      <c r="BL32" s="311">
        <v>0.9</v>
      </c>
      <c r="BM32" s="311">
        <v>0.9</v>
      </c>
      <c r="BN32" s="711">
        <v>0</v>
      </c>
      <c r="BO32" s="721">
        <f>AK32*1000*Preisannahmen!N25*BF32</f>
        <v>91210.033152</v>
      </c>
      <c r="BP32" s="137">
        <f>AM32*1000*Preisannahmen!H25*BG32</f>
        <v>0</v>
      </c>
      <c r="BQ32" s="137">
        <f>AO32*1000*Preisannahmen!N20*BH32</f>
        <v>24560.524799999996</v>
      </c>
      <c r="BR32" s="722">
        <f>AQ32*1000*Preisannahmen!H20*BI32</f>
        <v>0</v>
      </c>
      <c r="BS32" s="727">
        <f>Y32*1000*Preisannahmen!$N$34*BN32</f>
        <v>0</v>
      </c>
      <c r="BT32" s="721">
        <f>AS32*1000*Preisannahmen!N35*BJ32</f>
        <v>0</v>
      </c>
      <c r="BU32" s="137">
        <f>AU32*1000*Preisannahmen!H35*BK32</f>
        <v>0</v>
      </c>
      <c r="BV32" s="137">
        <f>AW32*1000*Preisannahmen!N36*BL32</f>
        <v>43092</v>
      </c>
      <c r="BW32" s="722">
        <f>AY32*1000*Preisannahmen!$E$36*BM32</f>
        <v>0</v>
      </c>
      <c r="BX32" s="721">
        <f>O32*1000*Preisannahmen!$N$38*AZ32</f>
        <v>0</v>
      </c>
      <c r="BY32" s="137">
        <f>P32*1000*Preisannahmen!$N$39*BA32</f>
        <v>0</v>
      </c>
      <c r="BZ32" s="137">
        <f>Q32*1000*Preisannahmen!$N$40*BB32</f>
        <v>0</v>
      </c>
      <c r="CA32" s="137">
        <f>R32*1000*Preisannahmen!$N$41*BC32</f>
        <v>0</v>
      </c>
      <c r="CB32" s="722">
        <f>S32*1000*Preisannahmen!$N$42*BD32</f>
        <v>0</v>
      </c>
      <c r="CC32" s="727">
        <f>T32*1000*Preisannahmen!$N$43*BE32</f>
        <v>22500</v>
      </c>
      <c r="CD32" s="450">
        <f t="shared" si="33"/>
        <v>181362.557952</v>
      </c>
      <c r="CE32" s="821"/>
    </row>
    <row r="33" spans="2:83" ht="12.75">
      <c r="B33" s="175" t="s">
        <v>89</v>
      </c>
      <c r="C33" s="206">
        <v>2011</v>
      </c>
      <c r="D33" s="187">
        <v>20</v>
      </c>
      <c r="E33" s="478">
        <f>D33/(1-Betriebsaufwand!$L$3)</f>
        <v>30.769230769230766</v>
      </c>
      <c r="F33" s="475">
        <f t="shared" si="16"/>
        <v>0.72</v>
      </c>
      <c r="G33" s="200">
        <f t="shared" si="29"/>
        <v>14.399999999999999</v>
      </c>
      <c r="H33" s="201">
        <f>H9</f>
        <v>0.28</v>
      </c>
      <c r="I33" s="188">
        <f t="shared" si="30"/>
        <v>5.6000000000000005</v>
      </c>
      <c r="J33" s="202">
        <f>J9</f>
        <v>0.68</v>
      </c>
      <c r="K33" s="203">
        <f t="shared" si="31"/>
        <v>13.600000000000001</v>
      </c>
      <c r="L33" s="192">
        <f t="shared" si="17"/>
        <v>0.31999999999999995</v>
      </c>
      <c r="M33" s="484">
        <f t="shared" si="34"/>
        <v>6.399999999999999</v>
      </c>
      <c r="N33" s="304">
        <f t="shared" si="0"/>
        <v>13.600000000000001</v>
      </c>
      <c r="O33" s="217">
        <f t="shared" si="1"/>
        <v>0</v>
      </c>
      <c r="P33" s="217">
        <f t="shared" si="2"/>
        <v>0</v>
      </c>
      <c r="Q33" s="217">
        <f t="shared" si="3"/>
        <v>0</v>
      </c>
      <c r="R33" s="218">
        <f t="shared" si="4"/>
        <v>0</v>
      </c>
      <c r="S33" s="217">
        <f t="shared" si="5"/>
        <v>0</v>
      </c>
      <c r="T33" s="219">
        <f t="shared" si="6"/>
        <v>13.600000000000001</v>
      </c>
      <c r="U33" s="204">
        <f>U9</f>
        <v>0.2</v>
      </c>
      <c r="V33" s="193">
        <f t="shared" si="7"/>
        <v>0.8960000000000001</v>
      </c>
      <c r="W33" s="193">
        <f>V33/Preisannahmen!P8</f>
        <v>0.9696969696969698</v>
      </c>
      <c r="X33" s="205">
        <f t="shared" si="32"/>
        <v>0.8</v>
      </c>
      <c r="Y33" s="194">
        <f t="shared" si="8"/>
        <v>3.5840000000000005</v>
      </c>
      <c r="Z33" s="195">
        <v>0</v>
      </c>
      <c r="AA33" s="232">
        <f t="shared" si="9"/>
        <v>0</v>
      </c>
      <c r="AB33" s="189">
        <v>0.2</v>
      </c>
      <c r="AC33" s="290">
        <f t="shared" si="10"/>
        <v>1.12</v>
      </c>
      <c r="AD33" s="303">
        <f>AD9</f>
        <v>0.05</v>
      </c>
      <c r="AE33" s="194">
        <f t="shared" si="18"/>
        <v>1.064</v>
      </c>
      <c r="AF33" s="195">
        <v>0.8</v>
      </c>
      <c r="AG33" s="224">
        <f t="shared" si="19"/>
        <v>0.7168000000000001</v>
      </c>
      <c r="AH33" s="221">
        <f t="shared" si="20"/>
        <v>0.19999999999999996</v>
      </c>
      <c r="AI33" s="227">
        <f t="shared" si="11"/>
        <v>0.1792</v>
      </c>
      <c r="AJ33" s="189">
        <v>1</v>
      </c>
      <c r="AK33" s="224">
        <f t="shared" si="21"/>
        <v>0.7168000000000001</v>
      </c>
      <c r="AL33" s="221">
        <f t="shared" si="22"/>
        <v>0</v>
      </c>
      <c r="AM33" s="227">
        <f t="shared" si="23"/>
        <v>0</v>
      </c>
      <c r="AN33" s="189">
        <v>1</v>
      </c>
      <c r="AO33" s="224">
        <f t="shared" si="24"/>
        <v>0.1792</v>
      </c>
      <c r="AP33" s="221">
        <f t="shared" si="25"/>
        <v>0</v>
      </c>
      <c r="AQ33" s="227">
        <f t="shared" si="26"/>
        <v>0</v>
      </c>
      <c r="AR33" s="189">
        <v>0.9</v>
      </c>
      <c r="AS33" s="224">
        <f t="shared" si="12"/>
        <v>0</v>
      </c>
      <c r="AT33" s="221">
        <f t="shared" si="27"/>
        <v>0.09999999999999998</v>
      </c>
      <c r="AU33" s="227">
        <f t="shared" si="13"/>
        <v>0</v>
      </c>
      <c r="AV33" s="189">
        <v>1</v>
      </c>
      <c r="AW33" s="494">
        <f t="shared" si="14"/>
        <v>1.064</v>
      </c>
      <c r="AX33" s="221">
        <f t="shared" si="28"/>
        <v>0</v>
      </c>
      <c r="AY33" s="495">
        <f t="shared" si="15"/>
        <v>0</v>
      </c>
      <c r="AZ33" s="488">
        <v>0</v>
      </c>
      <c r="BA33" s="488">
        <v>0</v>
      </c>
      <c r="BB33" s="488">
        <v>0</v>
      </c>
      <c r="BC33" s="488">
        <v>0</v>
      </c>
      <c r="BD33" s="488">
        <v>0</v>
      </c>
      <c r="BE33" s="309">
        <v>1</v>
      </c>
      <c r="BF33" s="309">
        <v>0.98</v>
      </c>
      <c r="BG33" s="309">
        <v>0.98</v>
      </c>
      <c r="BH33" s="309">
        <v>0.98</v>
      </c>
      <c r="BI33" s="309">
        <v>0.98</v>
      </c>
      <c r="BJ33" s="309">
        <v>0.98</v>
      </c>
      <c r="BK33" s="309">
        <v>0.95</v>
      </c>
      <c r="BL33" s="309">
        <v>0.95</v>
      </c>
      <c r="BM33" s="309">
        <v>0.95</v>
      </c>
      <c r="BN33" s="709">
        <v>0.8</v>
      </c>
      <c r="BO33" s="717">
        <f>AK33*1000*Preisannahmen!K24*BF33</f>
        <v>14279.688192000001</v>
      </c>
      <c r="BP33" s="196">
        <f>AM33*1000*Preisannahmen!E24*BG33</f>
        <v>0</v>
      </c>
      <c r="BQ33" s="196">
        <f>AO33*1000*Preisannahmen!K19*BH33</f>
        <v>3569.9220479999994</v>
      </c>
      <c r="BR33" s="718">
        <f>AQ33*1000*Preisannahmen!E19*BI33</f>
        <v>0</v>
      </c>
      <c r="BS33" s="725">
        <f>Y33*1000*Preisannahmen!$K$34*BN33</f>
        <v>22937.600000000006</v>
      </c>
      <c r="BT33" s="717">
        <f>AS33*1000*Preisannahmen!K35*BJ33</f>
        <v>0</v>
      </c>
      <c r="BU33" s="196">
        <f>AU33*1000*Preisannahmen!E35*BK33</f>
        <v>0</v>
      </c>
      <c r="BV33" s="196">
        <f>AW33*1000*Preisannahmen!K36*BL33</f>
        <v>9097.199999999999</v>
      </c>
      <c r="BW33" s="718">
        <f>AY33*1000*Preisannahmen!$E$36*BM33</f>
        <v>0</v>
      </c>
      <c r="BX33" s="717">
        <f>O33*1000*Preisannahmen!$N$38*AZ33</f>
        <v>0</v>
      </c>
      <c r="BY33" s="196">
        <f>P33*1000*Preisannahmen!$N$39*BA33</f>
        <v>0</v>
      </c>
      <c r="BZ33" s="196">
        <f>Q33*1000*Preisannahmen!$N$40*BB33</f>
        <v>0</v>
      </c>
      <c r="CA33" s="196">
        <f>R33*1000*Preisannahmen!$N$41*BC33</f>
        <v>0</v>
      </c>
      <c r="CB33" s="718">
        <f>S33*1000*Preisannahmen!$N$42*BD33</f>
        <v>0</v>
      </c>
      <c r="CC33" s="725">
        <f>T33*1000*Preisannahmen!$N$43*BE33</f>
        <v>2720.0000000000005</v>
      </c>
      <c r="CD33" s="451">
        <f t="shared" si="33"/>
        <v>52604.410240000005</v>
      </c>
      <c r="CE33" s="817">
        <f>SUM(CD33:CD40)</f>
        <v>1389481.100784</v>
      </c>
    </row>
    <row r="34" spans="2:83" ht="12.75">
      <c r="B34" s="176" t="s">
        <v>90</v>
      </c>
      <c r="C34" s="207">
        <v>2011</v>
      </c>
      <c r="D34" s="160">
        <v>60</v>
      </c>
      <c r="E34" s="479">
        <f>D34/(1-Betriebsaufwand!$L$3)</f>
        <v>92.3076923076923</v>
      </c>
      <c r="F34" s="476">
        <f t="shared" si="16"/>
        <v>0.78</v>
      </c>
      <c r="G34" s="163">
        <f t="shared" si="29"/>
        <v>46.800000000000004</v>
      </c>
      <c r="H34" s="124">
        <f>H10</f>
        <v>0.22</v>
      </c>
      <c r="I34" s="162">
        <f t="shared" si="30"/>
        <v>13.2</v>
      </c>
      <c r="J34" s="119">
        <f>J10</f>
        <v>0.74</v>
      </c>
      <c r="K34" s="168">
        <f t="shared" si="31"/>
        <v>44.4</v>
      </c>
      <c r="L34" s="120">
        <f t="shared" si="17"/>
        <v>0.26</v>
      </c>
      <c r="M34" s="485">
        <f t="shared" si="34"/>
        <v>15.600000000000001</v>
      </c>
      <c r="N34" s="305">
        <f t="shared" si="0"/>
        <v>44.4</v>
      </c>
      <c r="O34" s="211">
        <f t="shared" si="1"/>
        <v>0</v>
      </c>
      <c r="P34" s="211">
        <f t="shared" si="2"/>
        <v>0</v>
      </c>
      <c r="Q34" s="211">
        <f t="shared" si="3"/>
        <v>0</v>
      </c>
      <c r="R34" s="212">
        <f t="shared" si="4"/>
        <v>0</v>
      </c>
      <c r="S34" s="211">
        <f t="shared" si="5"/>
        <v>0</v>
      </c>
      <c r="T34" s="213">
        <f t="shared" si="6"/>
        <v>44.4</v>
      </c>
      <c r="U34" s="171">
        <f>U10</f>
        <v>0.36</v>
      </c>
      <c r="V34" s="126">
        <f t="shared" si="7"/>
        <v>3.801599999999999</v>
      </c>
      <c r="W34" s="126">
        <f>V34/Preisannahmen!P6</f>
        <v>4.168421052631578</v>
      </c>
      <c r="X34" s="173">
        <f t="shared" si="32"/>
        <v>0.64</v>
      </c>
      <c r="Y34" s="129">
        <f t="shared" si="8"/>
        <v>6.758399999999999</v>
      </c>
      <c r="Z34" s="153">
        <v>0</v>
      </c>
      <c r="AA34" s="233">
        <f t="shared" si="9"/>
        <v>0</v>
      </c>
      <c r="AB34" s="143">
        <v>0.2</v>
      </c>
      <c r="AC34" s="291">
        <f t="shared" si="10"/>
        <v>2.64</v>
      </c>
      <c r="AD34" s="301">
        <f>AD10</f>
        <v>0.05</v>
      </c>
      <c r="AE34" s="129">
        <f t="shared" si="18"/>
        <v>2.508</v>
      </c>
      <c r="AF34" s="153">
        <v>0.8</v>
      </c>
      <c r="AG34" s="225">
        <f t="shared" si="19"/>
        <v>3.0412799999999995</v>
      </c>
      <c r="AH34" s="222">
        <f t="shared" si="20"/>
        <v>0.19999999999999996</v>
      </c>
      <c r="AI34" s="228">
        <f t="shared" si="11"/>
        <v>0.7603199999999997</v>
      </c>
      <c r="AJ34" s="143">
        <v>1</v>
      </c>
      <c r="AK34" s="225">
        <f t="shared" si="21"/>
        <v>3.0412799999999995</v>
      </c>
      <c r="AL34" s="222">
        <f t="shared" si="22"/>
        <v>0</v>
      </c>
      <c r="AM34" s="228">
        <f t="shared" si="23"/>
        <v>0</v>
      </c>
      <c r="AN34" s="143">
        <v>1</v>
      </c>
      <c r="AO34" s="225">
        <f t="shared" si="24"/>
        <v>0.7603199999999997</v>
      </c>
      <c r="AP34" s="222">
        <f t="shared" si="25"/>
        <v>0</v>
      </c>
      <c r="AQ34" s="228">
        <f t="shared" si="26"/>
        <v>0</v>
      </c>
      <c r="AR34" s="143">
        <v>0.9</v>
      </c>
      <c r="AS34" s="225">
        <f t="shared" si="12"/>
        <v>0</v>
      </c>
      <c r="AT34" s="222">
        <f t="shared" si="27"/>
        <v>0.09999999999999998</v>
      </c>
      <c r="AU34" s="228">
        <f t="shared" si="13"/>
        <v>0</v>
      </c>
      <c r="AV34" s="143">
        <v>1</v>
      </c>
      <c r="AW34" s="496">
        <f t="shared" si="14"/>
        <v>2.508</v>
      </c>
      <c r="AX34" s="222">
        <f t="shared" si="28"/>
        <v>0</v>
      </c>
      <c r="AY34" s="497">
        <f t="shared" si="15"/>
        <v>0</v>
      </c>
      <c r="AZ34" s="489">
        <v>0</v>
      </c>
      <c r="BA34" s="489">
        <v>0</v>
      </c>
      <c r="BB34" s="489">
        <v>0</v>
      </c>
      <c r="BC34" s="489">
        <v>0</v>
      </c>
      <c r="BD34" s="489">
        <v>0</v>
      </c>
      <c r="BE34" s="310">
        <v>1</v>
      </c>
      <c r="BF34" s="310">
        <v>0.98</v>
      </c>
      <c r="BG34" s="310">
        <v>0.98</v>
      </c>
      <c r="BH34" s="310">
        <v>0.98</v>
      </c>
      <c r="BI34" s="310">
        <v>0.98</v>
      </c>
      <c r="BJ34" s="310">
        <v>0.98</v>
      </c>
      <c r="BK34" s="310">
        <v>0.95</v>
      </c>
      <c r="BL34" s="310">
        <v>0.95</v>
      </c>
      <c r="BM34" s="310">
        <v>0.95</v>
      </c>
      <c r="BN34" s="710">
        <v>0.8</v>
      </c>
      <c r="BO34" s="719">
        <f>AK34*1000*Preisannahmen!K22*BF34</f>
        <v>48927.1394304</v>
      </c>
      <c r="BP34" s="130">
        <f>AM34*1000*Preisannahmen!E22*BG34</f>
        <v>0</v>
      </c>
      <c r="BQ34" s="130">
        <f>AO34*1000*Preisannahmen!K17*BH34</f>
        <v>12231.784857599996</v>
      </c>
      <c r="BR34" s="720">
        <f>AQ34*1000*Preisannahmen!E17*BI34</f>
        <v>0</v>
      </c>
      <c r="BS34" s="726">
        <f>Y34*1000*Preisannahmen!$K$34*BN34</f>
        <v>43253.759999999995</v>
      </c>
      <c r="BT34" s="719">
        <f>AS34*1000*Preisannahmen!K35*BJ34</f>
        <v>0</v>
      </c>
      <c r="BU34" s="130">
        <f>AU34*1000*Preisannahmen!E35*BK34</f>
        <v>0</v>
      </c>
      <c r="BV34" s="130">
        <f>AW34*1000*Preisannahmen!K36*BL34</f>
        <v>21443.399999999998</v>
      </c>
      <c r="BW34" s="720">
        <f>AY34*1000*Preisannahmen!$E$36*BM34</f>
        <v>0</v>
      </c>
      <c r="BX34" s="719">
        <f>O34*1000*Preisannahmen!$N$38*AZ34</f>
        <v>0</v>
      </c>
      <c r="BY34" s="130">
        <f>P34*1000*Preisannahmen!$N$39*BA34</f>
        <v>0</v>
      </c>
      <c r="BZ34" s="130">
        <f>Q34*1000*Preisannahmen!$N$40*BB34</f>
        <v>0</v>
      </c>
      <c r="CA34" s="130">
        <f>R34*1000*Preisannahmen!$N$41*BC34</f>
        <v>0</v>
      </c>
      <c r="CB34" s="720">
        <f>S34*1000*Preisannahmen!$N$42*BD34</f>
        <v>0</v>
      </c>
      <c r="CC34" s="726">
        <f>T34*1000*Preisannahmen!$N$43*BE34</f>
        <v>8880</v>
      </c>
      <c r="CD34" s="449">
        <f t="shared" si="33"/>
        <v>134736.08428799998</v>
      </c>
      <c r="CE34" s="818"/>
    </row>
    <row r="35" spans="2:83" ht="12.75">
      <c r="B35" s="177" t="s">
        <v>91</v>
      </c>
      <c r="C35" s="207">
        <v>2011</v>
      </c>
      <c r="D35" s="160">
        <v>60</v>
      </c>
      <c r="E35" s="479">
        <f>D35/(1-Betriebsaufwand!$L$3)</f>
        <v>92.3076923076923</v>
      </c>
      <c r="F35" s="476">
        <f t="shared" si="16"/>
        <v>0.94</v>
      </c>
      <c r="G35" s="163">
        <f t="shared" si="29"/>
        <v>56.4</v>
      </c>
      <c r="H35" s="124">
        <f>H11</f>
        <v>0.06</v>
      </c>
      <c r="I35" s="162">
        <f t="shared" si="30"/>
        <v>3.5999999999999996</v>
      </c>
      <c r="J35" s="119">
        <f>J11</f>
        <v>0.9</v>
      </c>
      <c r="K35" s="168">
        <f t="shared" si="31"/>
        <v>54</v>
      </c>
      <c r="L35" s="120">
        <f t="shared" si="17"/>
        <v>0.09999999999999998</v>
      </c>
      <c r="M35" s="485">
        <f t="shared" si="34"/>
        <v>5.999999999999998</v>
      </c>
      <c r="N35" s="305">
        <f t="shared" si="0"/>
        <v>54</v>
      </c>
      <c r="O35" s="211">
        <f t="shared" si="1"/>
        <v>0</v>
      </c>
      <c r="P35" s="211">
        <f t="shared" si="2"/>
        <v>0</v>
      </c>
      <c r="Q35" s="211">
        <f t="shared" si="3"/>
        <v>0</v>
      </c>
      <c r="R35" s="212">
        <f t="shared" si="4"/>
        <v>0</v>
      </c>
      <c r="S35" s="211">
        <f t="shared" si="5"/>
        <v>0</v>
      </c>
      <c r="T35" s="213">
        <f t="shared" si="6"/>
        <v>54</v>
      </c>
      <c r="U35" s="171">
        <f>U11</f>
        <v>0.35</v>
      </c>
      <c r="V35" s="126">
        <f t="shared" si="7"/>
        <v>1.008</v>
      </c>
      <c r="W35" s="126">
        <f>V35/Preisannahmen!P7</f>
        <v>1.0897297297297297</v>
      </c>
      <c r="X35" s="173">
        <f t="shared" si="32"/>
        <v>0.65</v>
      </c>
      <c r="Y35" s="129">
        <f t="shared" si="8"/>
        <v>1.8719999999999999</v>
      </c>
      <c r="Z35" s="153">
        <v>0</v>
      </c>
      <c r="AA35" s="233">
        <f t="shared" si="9"/>
        <v>0</v>
      </c>
      <c r="AB35" s="143">
        <v>0.2</v>
      </c>
      <c r="AC35" s="292">
        <f t="shared" si="10"/>
        <v>0.72</v>
      </c>
      <c r="AD35" s="301">
        <f>AD11</f>
        <v>0.05</v>
      </c>
      <c r="AE35" s="129">
        <f t="shared" si="18"/>
        <v>0.6839999999999999</v>
      </c>
      <c r="AF35" s="153">
        <v>0.8</v>
      </c>
      <c r="AG35" s="225">
        <f t="shared" si="19"/>
        <v>0.8064</v>
      </c>
      <c r="AH35" s="222">
        <f t="shared" si="20"/>
        <v>0.19999999999999996</v>
      </c>
      <c r="AI35" s="228">
        <f t="shared" si="11"/>
        <v>0.20159999999999995</v>
      </c>
      <c r="AJ35" s="143">
        <v>1</v>
      </c>
      <c r="AK35" s="225">
        <f t="shared" si="21"/>
        <v>0.8064</v>
      </c>
      <c r="AL35" s="222">
        <f t="shared" si="22"/>
        <v>0</v>
      </c>
      <c r="AM35" s="228">
        <f t="shared" si="23"/>
        <v>0</v>
      </c>
      <c r="AN35" s="143">
        <v>1</v>
      </c>
      <c r="AO35" s="225">
        <f t="shared" si="24"/>
        <v>0.20159999999999995</v>
      </c>
      <c r="AP35" s="222">
        <f t="shared" si="25"/>
        <v>0</v>
      </c>
      <c r="AQ35" s="228">
        <f t="shared" si="26"/>
        <v>0</v>
      </c>
      <c r="AR35" s="143">
        <v>0.9</v>
      </c>
      <c r="AS35" s="225">
        <f t="shared" si="12"/>
        <v>0</v>
      </c>
      <c r="AT35" s="222">
        <f t="shared" si="27"/>
        <v>0.09999999999999998</v>
      </c>
      <c r="AU35" s="228">
        <f t="shared" si="13"/>
        <v>0</v>
      </c>
      <c r="AV35" s="143">
        <v>1</v>
      </c>
      <c r="AW35" s="496">
        <f t="shared" si="14"/>
        <v>0.6839999999999999</v>
      </c>
      <c r="AX35" s="222">
        <f t="shared" si="28"/>
        <v>0</v>
      </c>
      <c r="AY35" s="497">
        <f t="shared" si="15"/>
        <v>0</v>
      </c>
      <c r="AZ35" s="489">
        <v>0</v>
      </c>
      <c r="BA35" s="489">
        <v>0</v>
      </c>
      <c r="BB35" s="489">
        <v>0</v>
      </c>
      <c r="BC35" s="489">
        <v>0</v>
      </c>
      <c r="BD35" s="489">
        <v>0</v>
      </c>
      <c r="BE35" s="310">
        <v>1</v>
      </c>
      <c r="BF35" s="310">
        <v>0.98</v>
      </c>
      <c r="BG35" s="310">
        <v>0.98</v>
      </c>
      <c r="BH35" s="310">
        <v>0.98</v>
      </c>
      <c r="BI35" s="310">
        <v>0.98</v>
      </c>
      <c r="BJ35" s="310">
        <v>0.98</v>
      </c>
      <c r="BK35" s="310">
        <v>0.95</v>
      </c>
      <c r="BL35" s="310">
        <v>0.95</v>
      </c>
      <c r="BM35" s="310">
        <v>0.95</v>
      </c>
      <c r="BN35" s="710">
        <v>0.8</v>
      </c>
      <c r="BO35" s="719">
        <f>AK35*1000*Preisannahmen!K23*BF35</f>
        <v>14620.032</v>
      </c>
      <c r="BP35" s="130">
        <f>AM35*1000*Preisannahmen!E23*BG35</f>
        <v>0</v>
      </c>
      <c r="BQ35" s="130">
        <f>AO35*1000*Preisannahmen!K18*BH35</f>
        <v>3655.007999999999</v>
      </c>
      <c r="BR35" s="720">
        <f>AQ35*1000*Preisannahmen!E18*BI35</f>
        <v>0</v>
      </c>
      <c r="BS35" s="726">
        <f>Y35*1000*Preisannahmen!$K$34*BN35</f>
        <v>11980.800000000001</v>
      </c>
      <c r="BT35" s="719">
        <f>AS35*1000*Preisannahmen!K35*BJ35</f>
        <v>0</v>
      </c>
      <c r="BU35" s="130">
        <f>AU35*1000*Preisannahmen!E35*BK35</f>
        <v>0</v>
      </c>
      <c r="BV35" s="130">
        <f>AW35*1000*Preisannahmen!K36*BL35</f>
        <v>5848.199999999999</v>
      </c>
      <c r="BW35" s="720">
        <f>AY35*1000*Preisannahmen!$E$36*BM35</f>
        <v>0</v>
      </c>
      <c r="BX35" s="719">
        <f>O35*1000*Preisannahmen!$N$38*AZ35</f>
        <v>0</v>
      </c>
      <c r="BY35" s="130">
        <f>P35*1000*Preisannahmen!$N$39*BA35</f>
        <v>0</v>
      </c>
      <c r="BZ35" s="130">
        <f>Q35*1000*Preisannahmen!$N$40*BB35</f>
        <v>0</v>
      </c>
      <c r="CA35" s="130">
        <f>R35*1000*Preisannahmen!$N$41*BC35</f>
        <v>0</v>
      </c>
      <c r="CB35" s="720">
        <f>S35*1000*Preisannahmen!$N$42*BD35</f>
        <v>0</v>
      </c>
      <c r="CC35" s="726">
        <f>T35*1000*Preisannahmen!$N$43*BE35</f>
        <v>10800</v>
      </c>
      <c r="CD35" s="449">
        <f t="shared" si="33"/>
        <v>46904.03999999999</v>
      </c>
      <c r="CE35" s="818"/>
    </row>
    <row r="36" spans="2:83" ht="12.75">
      <c r="B36" s="178" t="s">
        <v>92</v>
      </c>
      <c r="C36" s="207">
        <v>2011</v>
      </c>
      <c r="D36" s="160">
        <v>30</v>
      </c>
      <c r="E36" s="479">
        <f>D36/(1-Betriebsaufwand!$L$3)</f>
        <v>46.15384615384615</v>
      </c>
      <c r="F36" s="476">
        <f t="shared" si="16"/>
        <v>0.79</v>
      </c>
      <c r="G36" s="163">
        <f t="shared" si="29"/>
        <v>23.700000000000003</v>
      </c>
      <c r="H36" s="124">
        <f>H12</f>
        <v>0.21</v>
      </c>
      <c r="I36" s="162">
        <f t="shared" si="30"/>
        <v>6.3</v>
      </c>
      <c r="J36" s="119">
        <f>J12</f>
        <v>0.75</v>
      </c>
      <c r="K36" s="168">
        <f t="shared" si="31"/>
        <v>22.5</v>
      </c>
      <c r="L36" s="120">
        <f t="shared" si="17"/>
        <v>0.25</v>
      </c>
      <c r="M36" s="485">
        <f t="shared" si="34"/>
        <v>7.5</v>
      </c>
      <c r="N36" s="305">
        <f t="shared" si="0"/>
        <v>22.5</v>
      </c>
      <c r="O36" s="211">
        <f t="shared" si="1"/>
        <v>0</v>
      </c>
      <c r="P36" s="211">
        <f t="shared" si="2"/>
        <v>0</v>
      </c>
      <c r="Q36" s="211">
        <f t="shared" si="3"/>
        <v>0</v>
      </c>
      <c r="R36" s="212">
        <f t="shared" si="4"/>
        <v>0</v>
      </c>
      <c r="S36" s="211">
        <f t="shared" si="5"/>
        <v>0</v>
      </c>
      <c r="T36" s="213">
        <f t="shared" si="6"/>
        <v>22.5</v>
      </c>
      <c r="U36" s="171">
        <f>U12</f>
        <v>0.28</v>
      </c>
      <c r="V36" s="126">
        <f t="shared" si="7"/>
        <v>1.4112000000000002</v>
      </c>
      <c r="W36" s="126">
        <f>V36/Preisannahmen!P9</f>
        <v>1.5406113537117905</v>
      </c>
      <c r="X36" s="173">
        <f t="shared" si="32"/>
        <v>0.72</v>
      </c>
      <c r="Y36" s="129">
        <f t="shared" si="8"/>
        <v>3.6288</v>
      </c>
      <c r="Z36" s="153">
        <v>0</v>
      </c>
      <c r="AA36" s="233">
        <f t="shared" si="9"/>
        <v>0</v>
      </c>
      <c r="AB36" s="143">
        <v>0.2</v>
      </c>
      <c r="AC36" s="291">
        <f t="shared" si="10"/>
        <v>1.26</v>
      </c>
      <c r="AD36" s="301">
        <f>AD12</f>
        <v>0.05</v>
      </c>
      <c r="AE36" s="129">
        <f t="shared" si="18"/>
        <v>1.1969999999999998</v>
      </c>
      <c r="AF36" s="153">
        <v>0.8</v>
      </c>
      <c r="AG36" s="225">
        <f t="shared" si="19"/>
        <v>1.1289600000000002</v>
      </c>
      <c r="AH36" s="222">
        <f t="shared" si="20"/>
        <v>0.19999999999999996</v>
      </c>
      <c r="AI36" s="228">
        <f t="shared" si="11"/>
        <v>0.28224</v>
      </c>
      <c r="AJ36" s="143">
        <v>1</v>
      </c>
      <c r="AK36" s="225">
        <f t="shared" si="21"/>
        <v>1.1289600000000002</v>
      </c>
      <c r="AL36" s="222">
        <f t="shared" si="22"/>
        <v>0</v>
      </c>
      <c r="AM36" s="228">
        <f t="shared" si="23"/>
        <v>0</v>
      </c>
      <c r="AN36" s="143">
        <v>1</v>
      </c>
      <c r="AO36" s="225">
        <f t="shared" si="24"/>
        <v>0.28224</v>
      </c>
      <c r="AP36" s="222">
        <f t="shared" si="25"/>
        <v>0</v>
      </c>
      <c r="AQ36" s="228">
        <f t="shared" si="26"/>
        <v>0</v>
      </c>
      <c r="AR36" s="143">
        <v>0.9</v>
      </c>
      <c r="AS36" s="225">
        <f t="shared" si="12"/>
        <v>0</v>
      </c>
      <c r="AT36" s="222">
        <f t="shared" si="27"/>
        <v>0.09999999999999998</v>
      </c>
      <c r="AU36" s="228">
        <f t="shared" si="13"/>
        <v>0</v>
      </c>
      <c r="AV36" s="143">
        <v>1</v>
      </c>
      <c r="AW36" s="496">
        <f t="shared" si="14"/>
        <v>1.1969999999999998</v>
      </c>
      <c r="AX36" s="222">
        <f t="shared" si="28"/>
        <v>0</v>
      </c>
      <c r="AY36" s="497">
        <f t="shared" si="15"/>
        <v>0</v>
      </c>
      <c r="AZ36" s="489">
        <v>0</v>
      </c>
      <c r="BA36" s="489">
        <v>0</v>
      </c>
      <c r="BB36" s="489">
        <v>0</v>
      </c>
      <c r="BC36" s="489">
        <v>0</v>
      </c>
      <c r="BD36" s="489">
        <v>0</v>
      </c>
      <c r="BE36" s="310">
        <v>1</v>
      </c>
      <c r="BF36" s="310">
        <v>0.98</v>
      </c>
      <c r="BG36" s="310">
        <v>0.98</v>
      </c>
      <c r="BH36" s="310">
        <v>0.98</v>
      </c>
      <c r="BI36" s="310">
        <v>0.98</v>
      </c>
      <c r="BJ36" s="310">
        <v>0.98</v>
      </c>
      <c r="BK36" s="310">
        <v>0.95</v>
      </c>
      <c r="BL36" s="310">
        <v>0.95</v>
      </c>
      <c r="BM36" s="310">
        <v>0.95</v>
      </c>
      <c r="BN36" s="710">
        <v>0.8</v>
      </c>
      <c r="BO36" s="719">
        <f>AK36*1000*Preisannahmen!K25*BF36</f>
        <v>22295.785881600004</v>
      </c>
      <c r="BP36" s="130">
        <f>AM36*1000*Preisannahmen!E25*BG36</f>
        <v>0</v>
      </c>
      <c r="BQ36" s="130">
        <f>AO36*1000*Preisannahmen!K20*BH36</f>
        <v>5573.9464704</v>
      </c>
      <c r="BR36" s="720">
        <f>AQ36*1000*Preisannahmen!E20*BI36</f>
        <v>0</v>
      </c>
      <c r="BS36" s="726">
        <f>Y36*1000*Preisannahmen!$K$34*BN36</f>
        <v>23224.320000000003</v>
      </c>
      <c r="BT36" s="719">
        <f>AS36*1000*Preisannahmen!K35*BJ36</f>
        <v>0</v>
      </c>
      <c r="BU36" s="130">
        <f>AU36*1000*Preisannahmen!E35*BK36</f>
        <v>0</v>
      </c>
      <c r="BV36" s="130">
        <f>AW36*1000*Preisannahmen!K36*BL36</f>
        <v>10234.349999999999</v>
      </c>
      <c r="BW36" s="720">
        <f>AY36*1000*Preisannahmen!$E$36*BM36</f>
        <v>0</v>
      </c>
      <c r="BX36" s="719">
        <f>O36*1000*Preisannahmen!$N$38*AZ36</f>
        <v>0</v>
      </c>
      <c r="BY36" s="130">
        <f>P36*1000*Preisannahmen!$N$39*BA36</f>
        <v>0</v>
      </c>
      <c r="BZ36" s="130">
        <f>Q36*1000*Preisannahmen!$N$40*BB36</f>
        <v>0</v>
      </c>
      <c r="CA36" s="130">
        <f>R36*1000*Preisannahmen!$N$41*BC36</f>
        <v>0</v>
      </c>
      <c r="CB36" s="720">
        <f>S36*1000*Preisannahmen!$N$42*BD36</f>
        <v>0</v>
      </c>
      <c r="CC36" s="726">
        <f>T36*1000*Preisannahmen!$N$43*BE36</f>
        <v>4500</v>
      </c>
      <c r="CD36" s="449">
        <f t="shared" si="33"/>
        <v>65828.402352</v>
      </c>
      <c r="CE36" s="818"/>
    </row>
    <row r="37" spans="2:83" ht="12.75">
      <c r="B37" s="179" t="s">
        <v>87</v>
      </c>
      <c r="C37" s="207">
        <v>2011</v>
      </c>
      <c r="D37" s="160">
        <v>20</v>
      </c>
      <c r="E37" s="479">
        <f>D37/(1-Betriebsaufwand!$L$3)</f>
        <v>30.769230769230766</v>
      </c>
      <c r="F37" s="476">
        <f t="shared" si="16"/>
        <v>0.72</v>
      </c>
      <c r="G37" s="163">
        <f t="shared" si="29"/>
        <v>14.399999999999999</v>
      </c>
      <c r="H37" s="124">
        <f>H9</f>
        <v>0.28</v>
      </c>
      <c r="I37" s="162">
        <f t="shared" si="30"/>
        <v>5.6000000000000005</v>
      </c>
      <c r="J37" s="119">
        <f>J9</f>
        <v>0.68</v>
      </c>
      <c r="K37" s="168">
        <f t="shared" si="31"/>
        <v>13.600000000000001</v>
      </c>
      <c r="L37" s="120">
        <f t="shared" si="17"/>
        <v>0.31999999999999995</v>
      </c>
      <c r="M37" s="485">
        <f t="shared" si="34"/>
        <v>6.399999999999999</v>
      </c>
      <c r="N37" s="305">
        <f t="shared" si="0"/>
        <v>13.600000000000001</v>
      </c>
      <c r="O37" s="211">
        <f t="shared" si="1"/>
        <v>0</v>
      </c>
      <c r="P37" s="211">
        <f t="shared" si="2"/>
        <v>0</v>
      </c>
      <c r="Q37" s="211">
        <f t="shared" si="3"/>
        <v>0</v>
      </c>
      <c r="R37" s="212">
        <f t="shared" si="4"/>
        <v>0</v>
      </c>
      <c r="S37" s="211">
        <f t="shared" si="5"/>
        <v>0</v>
      </c>
      <c r="T37" s="213">
        <f t="shared" si="6"/>
        <v>13.600000000000001</v>
      </c>
      <c r="U37" s="171">
        <f>U9</f>
        <v>0.2</v>
      </c>
      <c r="V37" s="126">
        <f t="shared" si="7"/>
        <v>0.8960000000000001</v>
      </c>
      <c r="W37" s="126">
        <f>V37/Preisannahmen!P8</f>
        <v>0.9696969696969698</v>
      </c>
      <c r="X37" s="173">
        <f t="shared" si="32"/>
        <v>0.8</v>
      </c>
      <c r="Y37" s="129">
        <f t="shared" si="8"/>
        <v>3.5840000000000005</v>
      </c>
      <c r="Z37" s="153">
        <v>0</v>
      </c>
      <c r="AA37" s="233">
        <f t="shared" si="9"/>
        <v>0</v>
      </c>
      <c r="AB37" s="143">
        <v>0.2</v>
      </c>
      <c r="AC37" s="292">
        <f t="shared" si="10"/>
        <v>1.12</v>
      </c>
      <c r="AD37" s="301">
        <f>AD9</f>
        <v>0.05</v>
      </c>
      <c r="AE37" s="129">
        <f t="shared" si="18"/>
        <v>1.064</v>
      </c>
      <c r="AF37" s="153">
        <v>0.8</v>
      </c>
      <c r="AG37" s="225">
        <f t="shared" si="19"/>
        <v>0.7168000000000001</v>
      </c>
      <c r="AH37" s="222">
        <f t="shared" si="20"/>
        <v>0.19999999999999996</v>
      </c>
      <c r="AI37" s="228">
        <f t="shared" si="11"/>
        <v>0.1792</v>
      </c>
      <c r="AJ37" s="143">
        <v>1</v>
      </c>
      <c r="AK37" s="225">
        <f t="shared" si="21"/>
        <v>0.7168000000000001</v>
      </c>
      <c r="AL37" s="222">
        <f t="shared" si="22"/>
        <v>0</v>
      </c>
      <c r="AM37" s="228">
        <f t="shared" si="23"/>
        <v>0</v>
      </c>
      <c r="AN37" s="143">
        <v>1</v>
      </c>
      <c r="AO37" s="225">
        <f t="shared" si="24"/>
        <v>0.1792</v>
      </c>
      <c r="AP37" s="222">
        <f t="shared" si="25"/>
        <v>0</v>
      </c>
      <c r="AQ37" s="228">
        <f t="shared" si="26"/>
        <v>0</v>
      </c>
      <c r="AR37" s="143">
        <v>0.9</v>
      </c>
      <c r="AS37" s="225">
        <f t="shared" si="12"/>
        <v>0</v>
      </c>
      <c r="AT37" s="222">
        <f t="shared" si="27"/>
        <v>0.09999999999999998</v>
      </c>
      <c r="AU37" s="228">
        <f t="shared" si="13"/>
        <v>0</v>
      </c>
      <c r="AV37" s="143">
        <v>1</v>
      </c>
      <c r="AW37" s="496">
        <f t="shared" si="14"/>
        <v>1.064</v>
      </c>
      <c r="AX37" s="222">
        <f t="shared" si="28"/>
        <v>0</v>
      </c>
      <c r="AY37" s="497">
        <f t="shared" si="15"/>
        <v>0</v>
      </c>
      <c r="AZ37" s="489">
        <v>0</v>
      </c>
      <c r="BA37" s="489">
        <v>0</v>
      </c>
      <c r="BB37" s="489">
        <v>0</v>
      </c>
      <c r="BC37" s="489">
        <v>0</v>
      </c>
      <c r="BD37" s="489">
        <v>0</v>
      </c>
      <c r="BE37" s="310">
        <v>1</v>
      </c>
      <c r="BF37" s="310">
        <v>0.98</v>
      </c>
      <c r="BG37" s="310">
        <v>0.98</v>
      </c>
      <c r="BH37" s="310">
        <v>0.98</v>
      </c>
      <c r="BI37" s="310">
        <v>0.98</v>
      </c>
      <c r="BJ37" s="310">
        <v>0.98</v>
      </c>
      <c r="BK37" s="310">
        <v>0.95</v>
      </c>
      <c r="BL37" s="310">
        <v>0.95</v>
      </c>
      <c r="BM37" s="310">
        <v>0.95</v>
      </c>
      <c r="BN37" s="710">
        <v>0.8</v>
      </c>
      <c r="BO37" s="719">
        <f>AK37*1000*Preisannahmen!N24*BF37</f>
        <v>11683.381248000002</v>
      </c>
      <c r="BP37" s="130">
        <f>AM37*1000*Preisannahmen!H24*BG37</f>
        <v>0</v>
      </c>
      <c r="BQ37" s="130">
        <f>AO37*1000*Preisannahmen!N19*BH37</f>
        <v>3245.38368</v>
      </c>
      <c r="BR37" s="720">
        <f>AQ37*1000*Preisannahmen!H19*BI37</f>
        <v>0</v>
      </c>
      <c r="BS37" s="726">
        <f>Y37*1000*Preisannahmen!$N$34*BN37</f>
        <v>20070.400000000005</v>
      </c>
      <c r="BT37" s="719">
        <f>AS37*1000*Preisannahmen!N35*BJ37</f>
        <v>0</v>
      </c>
      <c r="BU37" s="130">
        <f>AU37*1000*Preisannahmen!H35*BK37</f>
        <v>0</v>
      </c>
      <c r="BV37" s="130">
        <f>AW37*1000*Preisannahmen!N36*BL37</f>
        <v>8086.4</v>
      </c>
      <c r="BW37" s="720">
        <f>AY37*1000*Preisannahmen!$E$36*BM37</f>
        <v>0</v>
      </c>
      <c r="BX37" s="719">
        <f>O37*1000*Preisannahmen!$N$38*AZ37</f>
        <v>0</v>
      </c>
      <c r="BY37" s="130">
        <f>P37*1000*Preisannahmen!$N$39*BA37</f>
        <v>0</v>
      </c>
      <c r="BZ37" s="130">
        <f>Q37*1000*Preisannahmen!$N$40*BB37</f>
        <v>0</v>
      </c>
      <c r="CA37" s="130">
        <f>R37*1000*Preisannahmen!$N$41*BC37</f>
        <v>0</v>
      </c>
      <c r="CB37" s="720">
        <f>S37*1000*Preisannahmen!$N$42*BD37</f>
        <v>0</v>
      </c>
      <c r="CC37" s="726">
        <f>T37*1000*Preisannahmen!$N$43*BE37</f>
        <v>2720.0000000000005</v>
      </c>
      <c r="CD37" s="449">
        <f t="shared" si="33"/>
        <v>45805.56492800001</v>
      </c>
      <c r="CE37" s="818"/>
    </row>
    <row r="38" spans="2:83" ht="12.75">
      <c r="B38" s="176" t="s">
        <v>85</v>
      </c>
      <c r="C38" s="207">
        <v>2011</v>
      </c>
      <c r="D38" s="160">
        <v>250</v>
      </c>
      <c r="E38" s="479">
        <f>D38/(1-Betriebsaufwand!$L$3)</f>
        <v>384.6153846153846</v>
      </c>
      <c r="F38" s="476">
        <f t="shared" si="16"/>
        <v>0.78</v>
      </c>
      <c r="G38" s="163">
        <f t="shared" si="29"/>
        <v>195</v>
      </c>
      <c r="H38" s="124">
        <f>H10</f>
        <v>0.22</v>
      </c>
      <c r="I38" s="162">
        <f t="shared" si="30"/>
        <v>55</v>
      </c>
      <c r="J38" s="119">
        <f>J10</f>
        <v>0.74</v>
      </c>
      <c r="K38" s="168">
        <f t="shared" si="31"/>
        <v>185</v>
      </c>
      <c r="L38" s="120">
        <f t="shared" si="17"/>
        <v>0.26</v>
      </c>
      <c r="M38" s="485">
        <f t="shared" si="34"/>
        <v>65</v>
      </c>
      <c r="N38" s="305">
        <f t="shared" si="0"/>
        <v>185</v>
      </c>
      <c r="O38" s="211">
        <f t="shared" si="1"/>
        <v>0</v>
      </c>
      <c r="P38" s="211">
        <f t="shared" si="2"/>
        <v>0</v>
      </c>
      <c r="Q38" s="211">
        <f t="shared" si="3"/>
        <v>0</v>
      </c>
      <c r="R38" s="212">
        <f t="shared" si="4"/>
        <v>0</v>
      </c>
      <c r="S38" s="211">
        <f t="shared" si="5"/>
        <v>0</v>
      </c>
      <c r="T38" s="213">
        <f t="shared" si="6"/>
        <v>185</v>
      </c>
      <c r="U38" s="171">
        <f>U10</f>
        <v>0.36</v>
      </c>
      <c r="V38" s="126">
        <f t="shared" si="7"/>
        <v>15.84</v>
      </c>
      <c r="W38" s="126">
        <f>V38/Preisannahmen!P6</f>
        <v>17.36842105263158</v>
      </c>
      <c r="X38" s="173">
        <f t="shared" si="32"/>
        <v>0.64</v>
      </c>
      <c r="Y38" s="129">
        <f t="shared" si="8"/>
        <v>28.16</v>
      </c>
      <c r="Z38" s="153">
        <v>0</v>
      </c>
      <c r="AA38" s="233">
        <f t="shared" si="9"/>
        <v>0</v>
      </c>
      <c r="AB38" s="143">
        <v>0.2</v>
      </c>
      <c r="AC38" s="291">
        <f t="shared" si="10"/>
        <v>11</v>
      </c>
      <c r="AD38" s="301">
        <f>AD10</f>
        <v>0.05</v>
      </c>
      <c r="AE38" s="129">
        <f t="shared" si="18"/>
        <v>10.45</v>
      </c>
      <c r="AF38" s="153">
        <v>0.8</v>
      </c>
      <c r="AG38" s="225">
        <f t="shared" si="19"/>
        <v>12.672</v>
      </c>
      <c r="AH38" s="222">
        <f t="shared" si="20"/>
        <v>0.19999999999999996</v>
      </c>
      <c r="AI38" s="228">
        <f t="shared" si="11"/>
        <v>3.1679999999999993</v>
      </c>
      <c r="AJ38" s="143">
        <v>1</v>
      </c>
      <c r="AK38" s="225">
        <f t="shared" si="21"/>
        <v>12.672</v>
      </c>
      <c r="AL38" s="222">
        <f t="shared" si="22"/>
        <v>0</v>
      </c>
      <c r="AM38" s="228">
        <f t="shared" si="23"/>
        <v>0</v>
      </c>
      <c r="AN38" s="143">
        <v>1</v>
      </c>
      <c r="AO38" s="225">
        <f t="shared" si="24"/>
        <v>3.1679999999999993</v>
      </c>
      <c r="AP38" s="222">
        <f t="shared" si="25"/>
        <v>0</v>
      </c>
      <c r="AQ38" s="228">
        <f t="shared" si="26"/>
        <v>0</v>
      </c>
      <c r="AR38" s="143">
        <v>0.9</v>
      </c>
      <c r="AS38" s="225">
        <f t="shared" si="12"/>
        <v>0</v>
      </c>
      <c r="AT38" s="222">
        <f t="shared" si="27"/>
        <v>0.09999999999999998</v>
      </c>
      <c r="AU38" s="228">
        <f t="shared" si="13"/>
        <v>0</v>
      </c>
      <c r="AV38" s="143">
        <v>1</v>
      </c>
      <c r="AW38" s="496">
        <f t="shared" si="14"/>
        <v>10.45</v>
      </c>
      <c r="AX38" s="222">
        <f t="shared" si="28"/>
        <v>0</v>
      </c>
      <c r="AY38" s="497">
        <f t="shared" si="15"/>
        <v>0</v>
      </c>
      <c r="AZ38" s="489">
        <v>0</v>
      </c>
      <c r="BA38" s="489">
        <v>0</v>
      </c>
      <c r="BB38" s="489">
        <v>0</v>
      </c>
      <c r="BC38" s="489">
        <v>0</v>
      </c>
      <c r="BD38" s="489">
        <v>0</v>
      </c>
      <c r="BE38" s="310">
        <v>1</v>
      </c>
      <c r="BF38" s="310">
        <v>0.98</v>
      </c>
      <c r="BG38" s="310">
        <v>0.98</v>
      </c>
      <c r="BH38" s="310">
        <v>0.98</v>
      </c>
      <c r="BI38" s="310">
        <v>0.98</v>
      </c>
      <c r="BJ38" s="310">
        <v>0.98</v>
      </c>
      <c r="BK38" s="310">
        <v>0.95</v>
      </c>
      <c r="BL38" s="310">
        <v>0.95</v>
      </c>
      <c r="BM38" s="310">
        <v>0.95</v>
      </c>
      <c r="BN38" s="710">
        <v>0.8</v>
      </c>
      <c r="BO38" s="719">
        <f>AK38*1000*Preisannahmen!N22*BF38</f>
        <v>169885.9008</v>
      </c>
      <c r="BP38" s="130">
        <f>AM38*1000*Preisannahmen!H22*BG38</f>
        <v>0</v>
      </c>
      <c r="BQ38" s="130">
        <f>AO38*1000*Preisannahmen!N17*BH38</f>
        <v>45302.90687999999</v>
      </c>
      <c r="BR38" s="720">
        <f>AQ38*1000*Preisannahmen!H17*BI38</f>
        <v>0</v>
      </c>
      <c r="BS38" s="726">
        <f>Y38*1000*Preisannahmen!$N$34*BN38</f>
        <v>157696</v>
      </c>
      <c r="BT38" s="719">
        <f>AS38*1000*Preisannahmen!N35*BJ38</f>
        <v>0</v>
      </c>
      <c r="BU38" s="130">
        <f>AU38*1000*Preisannahmen!H35*BK38</f>
        <v>0</v>
      </c>
      <c r="BV38" s="130">
        <f>AW38*1000*Preisannahmen!N36*BL38</f>
        <v>79420</v>
      </c>
      <c r="BW38" s="720">
        <f>AY38*1000*Preisannahmen!$E$36*BM38</f>
        <v>0</v>
      </c>
      <c r="BX38" s="719">
        <f>O38*1000*Preisannahmen!$N$38*AZ38</f>
        <v>0</v>
      </c>
      <c r="BY38" s="130">
        <f>P38*1000*Preisannahmen!$N$39*BA38</f>
        <v>0</v>
      </c>
      <c r="BZ38" s="130">
        <f>Q38*1000*Preisannahmen!$N$40*BB38</f>
        <v>0</v>
      </c>
      <c r="CA38" s="130">
        <f>R38*1000*Preisannahmen!$N$41*BC38</f>
        <v>0</v>
      </c>
      <c r="CB38" s="720">
        <f>S38*1000*Preisannahmen!$N$42*BD38</f>
        <v>0</v>
      </c>
      <c r="CC38" s="726">
        <f>T38*1000*Preisannahmen!$N$43*BE38</f>
        <v>37000</v>
      </c>
      <c r="CD38" s="449">
        <f t="shared" si="33"/>
        <v>489304.80767999997</v>
      </c>
      <c r="CE38" s="818"/>
    </row>
    <row r="39" spans="2:83" ht="12.75">
      <c r="B39" s="177" t="s">
        <v>88</v>
      </c>
      <c r="C39" s="207">
        <v>2011</v>
      </c>
      <c r="D39" s="160">
        <v>250</v>
      </c>
      <c r="E39" s="479">
        <f>D39/(1-Betriebsaufwand!$L$3)</f>
        <v>384.6153846153846</v>
      </c>
      <c r="F39" s="476">
        <f t="shared" si="16"/>
        <v>0.94</v>
      </c>
      <c r="G39" s="163">
        <f t="shared" si="29"/>
        <v>235</v>
      </c>
      <c r="H39" s="124">
        <f>H11</f>
        <v>0.06</v>
      </c>
      <c r="I39" s="162">
        <f t="shared" si="30"/>
        <v>15</v>
      </c>
      <c r="J39" s="119">
        <f>J11</f>
        <v>0.9</v>
      </c>
      <c r="K39" s="168">
        <f t="shared" si="31"/>
        <v>225</v>
      </c>
      <c r="L39" s="120">
        <f t="shared" si="17"/>
        <v>0.09999999999999998</v>
      </c>
      <c r="M39" s="485">
        <f t="shared" si="34"/>
        <v>24.999999999999993</v>
      </c>
      <c r="N39" s="305">
        <f t="shared" si="0"/>
        <v>225</v>
      </c>
      <c r="O39" s="211">
        <f t="shared" si="1"/>
        <v>0</v>
      </c>
      <c r="P39" s="211">
        <f t="shared" si="2"/>
        <v>0</v>
      </c>
      <c r="Q39" s="211">
        <f t="shared" si="3"/>
        <v>0</v>
      </c>
      <c r="R39" s="212">
        <f t="shared" si="4"/>
        <v>0</v>
      </c>
      <c r="S39" s="211">
        <f t="shared" si="5"/>
        <v>0</v>
      </c>
      <c r="T39" s="213">
        <f t="shared" si="6"/>
        <v>225</v>
      </c>
      <c r="U39" s="171">
        <f>U11</f>
        <v>0.35</v>
      </c>
      <c r="V39" s="126">
        <f t="shared" si="7"/>
        <v>4.199999999999999</v>
      </c>
      <c r="W39" s="126">
        <f>V39/Preisannahmen!P7</f>
        <v>4.5405405405405395</v>
      </c>
      <c r="X39" s="173">
        <f t="shared" si="32"/>
        <v>0.65</v>
      </c>
      <c r="Y39" s="129">
        <f t="shared" si="8"/>
        <v>7.800000000000001</v>
      </c>
      <c r="Z39" s="153">
        <v>0</v>
      </c>
      <c r="AA39" s="233">
        <f t="shared" si="9"/>
        <v>0</v>
      </c>
      <c r="AB39" s="143">
        <v>0.2</v>
      </c>
      <c r="AC39" s="292">
        <f t="shared" si="10"/>
        <v>3</v>
      </c>
      <c r="AD39" s="301">
        <f>AD11</f>
        <v>0.05</v>
      </c>
      <c r="AE39" s="129">
        <f t="shared" si="18"/>
        <v>2.8499999999999996</v>
      </c>
      <c r="AF39" s="153">
        <v>0.8</v>
      </c>
      <c r="AG39" s="225">
        <f t="shared" si="19"/>
        <v>3.3599999999999994</v>
      </c>
      <c r="AH39" s="222">
        <f t="shared" si="20"/>
        <v>0.19999999999999996</v>
      </c>
      <c r="AI39" s="228">
        <f t="shared" si="11"/>
        <v>0.8399999999999996</v>
      </c>
      <c r="AJ39" s="143">
        <v>1</v>
      </c>
      <c r="AK39" s="225">
        <f t="shared" si="21"/>
        <v>3.3599999999999994</v>
      </c>
      <c r="AL39" s="222">
        <f t="shared" si="22"/>
        <v>0</v>
      </c>
      <c r="AM39" s="228">
        <f t="shared" si="23"/>
        <v>0</v>
      </c>
      <c r="AN39" s="143">
        <v>1</v>
      </c>
      <c r="AO39" s="225">
        <f t="shared" si="24"/>
        <v>0.8399999999999996</v>
      </c>
      <c r="AP39" s="222">
        <f t="shared" si="25"/>
        <v>0</v>
      </c>
      <c r="AQ39" s="228">
        <f t="shared" si="26"/>
        <v>0</v>
      </c>
      <c r="AR39" s="143">
        <v>0.9</v>
      </c>
      <c r="AS39" s="225">
        <f t="shared" si="12"/>
        <v>0</v>
      </c>
      <c r="AT39" s="222">
        <f t="shared" si="27"/>
        <v>0.09999999999999998</v>
      </c>
      <c r="AU39" s="228">
        <f t="shared" si="13"/>
        <v>0</v>
      </c>
      <c r="AV39" s="143">
        <v>1</v>
      </c>
      <c r="AW39" s="496">
        <f t="shared" si="14"/>
        <v>2.8499999999999996</v>
      </c>
      <c r="AX39" s="222">
        <f t="shared" si="28"/>
        <v>0</v>
      </c>
      <c r="AY39" s="497">
        <f t="shared" si="15"/>
        <v>0</v>
      </c>
      <c r="AZ39" s="489">
        <v>0</v>
      </c>
      <c r="BA39" s="489">
        <v>0</v>
      </c>
      <c r="BB39" s="489">
        <v>0</v>
      </c>
      <c r="BC39" s="489">
        <v>0</v>
      </c>
      <c r="BD39" s="489">
        <v>0</v>
      </c>
      <c r="BE39" s="310">
        <v>1</v>
      </c>
      <c r="BF39" s="310">
        <v>0.98</v>
      </c>
      <c r="BG39" s="310">
        <v>0.98</v>
      </c>
      <c r="BH39" s="310">
        <v>0.98</v>
      </c>
      <c r="BI39" s="310">
        <v>0.98</v>
      </c>
      <c r="BJ39" s="310">
        <v>0.98</v>
      </c>
      <c r="BK39" s="310">
        <v>0.95</v>
      </c>
      <c r="BL39" s="310">
        <v>0.95</v>
      </c>
      <c r="BM39" s="310">
        <v>0.95</v>
      </c>
      <c r="BN39" s="710">
        <v>0.8</v>
      </c>
      <c r="BO39" s="719">
        <f>AK39*1000*Preisannahmen!N23*BF39</f>
        <v>48733.439999999995</v>
      </c>
      <c r="BP39" s="130">
        <f>AM39*1000*Preisannahmen!H23*BG39</f>
        <v>0</v>
      </c>
      <c r="BQ39" s="130">
        <f>AO39*1000*Preisannahmen!N18*BH39</f>
        <v>13706.279999999997</v>
      </c>
      <c r="BR39" s="720">
        <f>AQ39*1000*Preisannahmen!H18*BI39</f>
        <v>0</v>
      </c>
      <c r="BS39" s="726">
        <f>Y39*1000*Preisannahmen!$N$34*BN39</f>
        <v>43680.00000000001</v>
      </c>
      <c r="BT39" s="719">
        <f>AS39*1000*Preisannahmen!N35*BJ39</f>
        <v>0</v>
      </c>
      <c r="BU39" s="130">
        <f>AU39*1000*Preisannahmen!H35*BK39</f>
        <v>0</v>
      </c>
      <c r="BV39" s="130">
        <f>AW39*1000*Preisannahmen!N36*BL39</f>
        <v>21659.999999999996</v>
      </c>
      <c r="BW39" s="720">
        <f>AY39*1000*Preisannahmen!$E$36*BM39</f>
        <v>0</v>
      </c>
      <c r="BX39" s="719">
        <f>O39*1000*Preisannahmen!$N$38*AZ39</f>
        <v>0</v>
      </c>
      <c r="BY39" s="130">
        <f>P39*1000*Preisannahmen!$N$39*BA39</f>
        <v>0</v>
      </c>
      <c r="BZ39" s="130">
        <f>Q39*1000*Preisannahmen!$N$40*BB39</f>
        <v>0</v>
      </c>
      <c r="CA39" s="130">
        <f>R39*1000*Preisannahmen!$N$41*BC39</f>
        <v>0</v>
      </c>
      <c r="CB39" s="720">
        <f>S39*1000*Preisannahmen!$N$42*BD39</f>
        <v>0</v>
      </c>
      <c r="CC39" s="726">
        <f>T39*1000*Preisannahmen!$N$43*BE39</f>
        <v>45000</v>
      </c>
      <c r="CD39" s="449">
        <f t="shared" si="33"/>
        <v>172779.72</v>
      </c>
      <c r="CE39" s="818"/>
    </row>
    <row r="40" spans="2:83" ht="13.5" thickBot="1">
      <c r="B40" s="180" t="s">
        <v>86</v>
      </c>
      <c r="C40" s="208">
        <v>2011</v>
      </c>
      <c r="D40" s="161">
        <v>200</v>
      </c>
      <c r="E40" s="480">
        <f>D40/(1-Betriebsaufwand!$L$3)</f>
        <v>307.6923076923077</v>
      </c>
      <c r="F40" s="477">
        <f t="shared" si="16"/>
        <v>0.79</v>
      </c>
      <c r="G40" s="164">
        <f t="shared" si="29"/>
        <v>158</v>
      </c>
      <c r="H40" s="131">
        <f>H12</f>
        <v>0.21</v>
      </c>
      <c r="I40" s="166">
        <f t="shared" si="30"/>
        <v>42</v>
      </c>
      <c r="J40" s="125">
        <f>J12</f>
        <v>0.75</v>
      </c>
      <c r="K40" s="169">
        <f t="shared" si="31"/>
        <v>150</v>
      </c>
      <c r="L40" s="132">
        <f t="shared" si="17"/>
        <v>0.25</v>
      </c>
      <c r="M40" s="486">
        <f t="shared" si="34"/>
        <v>50</v>
      </c>
      <c r="N40" s="306">
        <f t="shared" si="0"/>
        <v>150</v>
      </c>
      <c r="O40" s="214">
        <f t="shared" si="1"/>
        <v>0</v>
      </c>
      <c r="P40" s="214">
        <f t="shared" si="2"/>
        <v>0</v>
      </c>
      <c r="Q40" s="214">
        <f t="shared" si="3"/>
        <v>0</v>
      </c>
      <c r="R40" s="215">
        <f t="shared" si="4"/>
        <v>0</v>
      </c>
      <c r="S40" s="214">
        <f t="shared" si="5"/>
        <v>0</v>
      </c>
      <c r="T40" s="216">
        <f t="shared" si="6"/>
        <v>150</v>
      </c>
      <c r="U40" s="172">
        <f>U12</f>
        <v>0.28</v>
      </c>
      <c r="V40" s="127">
        <f t="shared" si="7"/>
        <v>9.408000000000001</v>
      </c>
      <c r="W40" s="127">
        <f>V40/Preisannahmen!P9</f>
        <v>10.270742358078603</v>
      </c>
      <c r="X40" s="174">
        <f t="shared" si="32"/>
        <v>0.72</v>
      </c>
      <c r="Y40" s="135">
        <f t="shared" si="8"/>
        <v>24.192</v>
      </c>
      <c r="Z40" s="154">
        <v>0</v>
      </c>
      <c r="AA40" s="234">
        <f t="shared" si="9"/>
        <v>0</v>
      </c>
      <c r="AB40" s="144">
        <v>0.2</v>
      </c>
      <c r="AC40" s="293">
        <f t="shared" si="10"/>
        <v>8.4</v>
      </c>
      <c r="AD40" s="302">
        <f>AD12</f>
        <v>0.05</v>
      </c>
      <c r="AE40" s="135">
        <f t="shared" si="18"/>
        <v>7.9799999999999995</v>
      </c>
      <c r="AF40" s="154">
        <v>0.8</v>
      </c>
      <c r="AG40" s="226">
        <f t="shared" si="19"/>
        <v>7.5264000000000015</v>
      </c>
      <c r="AH40" s="223">
        <f t="shared" si="20"/>
        <v>0.19999999999999996</v>
      </c>
      <c r="AI40" s="229">
        <f t="shared" si="11"/>
        <v>1.8816</v>
      </c>
      <c r="AJ40" s="144">
        <v>1</v>
      </c>
      <c r="AK40" s="226">
        <f t="shared" si="21"/>
        <v>7.5264000000000015</v>
      </c>
      <c r="AL40" s="223">
        <f t="shared" si="22"/>
        <v>0</v>
      </c>
      <c r="AM40" s="229">
        <f t="shared" si="23"/>
        <v>0</v>
      </c>
      <c r="AN40" s="144">
        <v>1</v>
      </c>
      <c r="AO40" s="226">
        <f t="shared" si="24"/>
        <v>1.8816</v>
      </c>
      <c r="AP40" s="223">
        <f t="shared" si="25"/>
        <v>0</v>
      </c>
      <c r="AQ40" s="229">
        <f t="shared" si="26"/>
        <v>0</v>
      </c>
      <c r="AR40" s="144">
        <v>0.9</v>
      </c>
      <c r="AS40" s="226">
        <f t="shared" si="12"/>
        <v>0</v>
      </c>
      <c r="AT40" s="223">
        <f t="shared" si="27"/>
        <v>0.09999999999999998</v>
      </c>
      <c r="AU40" s="229">
        <f t="shared" si="13"/>
        <v>0</v>
      </c>
      <c r="AV40" s="144">
        <v>1</v>
      </c>
      <c r="AW40" s="498">
        <f t="shared" si="14"/>
        <v>7.9799999999999995</v>
      </c>
      <c r="AX40" s="223">
        <f t="shared" si="28"/>
        <v>0</v>
      </c>
      <c r="AY40" s="499">
        <f t="shared" si="15"/>
        <v>0</v>
      </c>
      <c r="AZ40" s="490">
        <v>0</v>
      </c>
      <c r="BA40" s="490">
        <v>0</v>
      </c>
      <c r="BB40" s="490">
        <v>0</v>
      </c>
      <c r="BC40" s="490">
        <v>0</v>
      </c>
      <c r="BD40" s="490">
        <v>0</v>
      </c>
      <c r="BE40" s="311">
        <v>1</v>
      </c>
      <c r="BF40" s="311">
        <v>0.98</v>
      </c>
      <c r="BG40" s="311">
        <v>0.98</v>
      </c>
      <c r="BH40" s="311">
        <v>0.98</v>
      </c>
      <c r="BI40" s="311">
        <v>0.98</v>
      </c>
      <c r="BJ40" s="311">
        <v>0.98</v>
      </c>
      <c r="BK40" s="311">
        <v>0.95</v>
      </c>
      <c r="BL40" s="311">
        <v>0.95</v>
      </c>
      <c r="BM40" s="311">
        <v>0.95</v>
      </c>
      <c r="BN40" s="711">
        <v>0.8</v>
      </c>
      <c r="BO40" s="721">
        <f>AK40*1000*Preisannahmen!N25*BF40</f>
        <v>121613.37753600001</v>
      </c>
      <c r="BP40" s="137">
        <f>AM40*1000*Preisannahmen!H25*BG40</f>
        <v>0</v>
      </c>
      <c r="BQ40" s="137">
        <f>AO40*1000*Preisannahmen!N20*BH40</f>
        <v>33781.49376</v>
      </c>
      <c r="BR40" s="722">
        <f>AQ40*1000*Preisannahmen!H20*BI40</f>
        <v>0</v>
      </c>
      <c r="BS40" s="727">
        <f>Y40*1000*Preisannahmen!$N$34*BN40</f>
        <v>135475.2</v>
      </c>
      <c r="BT40" s="721">
        <f>AS40*1000*Preisannahmen!N35*BJ40</f>
        <v>0</v>
      </c>
      <c r="BU40" s="137">
        <f>AU40*1000*Preisannahmen!H35*BK40</f>
        <v>0</v>
      </c>
      <c r="BV40" s="137">
        <f>AW40*1000*Preisannahmen!N36*BL40</f>
        <v>60647.99999999999</v>
      </c>
      <c r="BW40" s="722">
        <f>AY40*1000*Preisannahmen!$E$36*BM40</f>
        <v>0</v>
      </c>
      <c r="BX40" s="721">
        <f>O40*1000*Preisannahmen!$N$38*AZ40</f>
        <v>0</v>
      </c>
      <c r="BY40" s="137">
        <f>P40*1000*Preisannahmen!$N$39*BA40</f>
        <v>0</v>
      </c>
      <c r="BZ40" s="137">
        <f>Q40*1000*Preisannahmen!$N$40*BB40</f>
        <v>0</v>
      </c>
      <c r="CA40" s="137">
        <f>R40*1000*Preisannahmen!$N$41*BC40</f>
        <v>0</v>
      </c>
      <c r="CB40" s="722">
        <f>S40*1000*Preisannahmen!$N$42*BD40</f>
        <v>0</v>
      </c>
      <c r="CC40" s="727">
        <f>T40*1000*Preisannahmen!$N$43*BE40</f>
        <v>30000</v>
      </c>
      <c r="CD40" s="450">
        <f t="shared" si="33"/>
        <v>381518.07129600004</v>
      </c>
      <c r="CE40" s="819"/>
    </row>
    <row r="41" spans="2:83" ht="12.75">
      <c r="B41" s="175" t="s">
        <v>89</v>
      </c>
      <c r="C41" s="181">
        <v>2012</v>
      </c>
      <c r="D41" s="187">
        <v>30</v>
      </c>
      <c r="E41" s="478">
        <f>D41/(1-Betriebsaufwand!$L$3)</f>
        <v>46.15384615384615</v>
      </c>
      <c r="F41" s="475">
        <f t="shared" si="16"/>
        <v>0.72</v>
      </c>
      <c r="G41" s="200">
        <f t="shared" si="29"/>
        <v>21.599999999999998</v>
      </c>
      <c r="H41" s="201">
        <f>H9</f>
        <v>0.28</v>
      </c>
      <c r="I41" s="188">
        <f t="shared" si="30"/>
        <v>8.4</v>
      </c>
      <c r="J41" s="202">
        <f>J9</f>
        <v>0.68</v>
      </c>
      <c r="K41" s="203">
        <f t="shared" si="31"/>
        <v>20.400000000000002</v>
      </c>
      <c r="L41" s="192">
        <f t="shared" si="17"/>
        <v>0.31999999999999995</v>
      </c>
      <c r="M41" s="484">
        <f t="shared" si="34"/>
        <v>9.599999999999998</v>
      </c>
      <c r="N41" s="304">
        <f t="shared" si="0"/>
        <v>20.400000000000002</v>
      </c>
      <c r="O41" s="217">
        <f t="shared" si="1"/>
        <v>0</v>
      </c>
      <c r="P41" s="217">
        <f t="shared" si="2"/>
        <v>0</v>
      </c>
      <c r="Q41" s="217">
        <f t="shared" si="3"/>
        <v>0</v>
      </c>
      <c r="R41" s="218">
        <f t="shared" si="4"/>
        <v>0</v>
      </c>
      <c r="S41" s="217">
        <f t="shared" si="5"/>
        <v>0</v>
      </c>
      <c r="T41" s="219">
        <f t="shared" si="6"/>
        <v>20.400000000000002</v>
      </c>
      <c r="U41" s="204">
        <f>U9</f>
        <v>0.2</v>
      </c>
      <c r="V41" s="193">
        <f t="shared" si="7"/>
        <v>1.3440000000000003</v>
      </c>
      <c r="W41" s="193">
        <f>V41/Preisannahmen!P8</f>
        <v>1.4545454545454548</v>
      </c>
      <c r="X41" s="205">
        <f t="shared" si="32"/>
        <v>0.8</v>
      </c>
      <c r="Y41" s="194">
        <f t="shared" si="8"/>
        <v>5.376000000000001</v>
      </c>
      <c r="Z41" s="195">
        <v>0</v>
      </c>
      <c r="AA41" s="232">
        <f t="shared" si="9"/>
        <v>0</v>
      </c>
      <c r="AB41" s="189">
        <v>0.2</v>
      </c>
      <c r="AC41" s="290">
        <f t="shared" si="10"/>
        <v>1.6800000000000002</v>
      </c>
      <c r="AD41" s="303">
        <f>AD9</f>
        <v>0.05</v>
      </c>
      <c r="AE41" s="194">
        <f t="shared" si="18"/>
        <v>1.596</v>
      </c>
      <c r="AF41" s="195">
        <v>0.8</v>
      </c>
      <c r="AG41" s="224">
        <f t="shared" si="19"/>
        <v>1.0752000000000004</v>
      </c>
      <c r="AH41" s="221">
        <f t="shared" si="20"/>
        <v>0.19999999999999996</v>
      </c>
      <c r="AI41" s="227">
        <f t="shared" si="11"/>
        <v>0.2688</v>
      </c>
      <c r="AJ41" s="189">
        <v>1</v>
      </c>
      <c r="AK41" s="224">
        <f t="shared" si="21"/>
        <v>1.0752000000000004</v>
      </c>
      <c r="AL41" s="221">
        <f t="shared" si="22"/>
        <v>0</v>
      </c>
      <c r="AM41" s="227">
        <f t="shared" si="23"/>
        <v>0</v>
      </c>
      <c r="AN41" s="189">
        <v>1</v>
      </c>
      <c r="AO41" s="224">
        <f t="shared" si="24"/>
        <v>0.2688</v>
      </c>
      <c r="AP41" s="221">
        <f t="shared" si="25"/>
        <v>0</v>
      </c>
      <c r="AQ41" s="227">
        <f t="shared" si="26"/>
        <v>0</v>
      </c>
      <c r="AR41" s="189">
        <v>0.9</v>
      </c>
      <c r="AS41" s="224">
        <f t="shared" si="12"/>
        <v>0</v>
      </c>
      <c r="AT41" s="221">
        <f t="shared" si="27"/>
        <v>0.09999999999999998</v>
      </c>
      <c r="AU41" s="227">
        <f t="shared" si="13"/>
        <v>0</v>
      </c>
      <c r="AV41" s="189">
        <v>1</v>
      </c>
      <c r="AW41" s="494">
        <f t="shared" si="14"/>
        <v>1.596</v>
      </c>
      <c r="AX41" s="221">
        <f t="shared" si="28"/>
        <v>0</v>
      </c>
      <c r="AY41" s="495">
        <f t="shared" si="15"/>
        <v>0</v>
      </c>
      <c r="AZ41" s="491">
        <v>0.8</v>
      </c>
      <c r="BA41" s="491">
        <v>0.95</v>
      </c>
      <c r="BB41" s="491">
        <v>0.8</v>
      </c>
      <c r="BC41" s="491">
        <v>0.8</v>
      </c>
      <c r="BD41" s="491">
        <v>0.8</v>
      </c>
      <c r="BE41" s="312">
        <v>1</v>
      </c>
      <c r="BF41" s="312">
        <v>1</v>
      </c>
      <c r="BG41" s="312">
        <v>1</v>
      </c>
      <c r="BH41" s="312">
        <v>1</v>
      </c>
      <c r="BI41" s="312">
        <v>1</v>
      </c>
      <c r="BJ41" s="312">
        <v>1</v>
      </c>
      <c r="BK41" s="309">
        <v>0.95</v>
      </c>
      <c r="BL41" s="312">
        <v>0.98</v>
      </c>
      <c r="BM41" s="309">
        <v>0.95</v>
      </c>
      <c r="BN41" s="712">
        <v>0.95</v>
      </c>
      <c r="BO41" s="717">
        <f>AK41*1000*Preisannahmen!K24*BF41</f>
        <v>21856.665600000004</v>
      </c>
      <c r="BP41" s="196">
        <f>AM41*1000*Preisannahmen!E24*BG41</f>
        <v>0</v>
      </c>
      <c r="BQ41" s="196">
        <f>AO41*1000*Preisannahmen!K19*BH41</f>
        <v>5464.1664</v>
      </c>
      <c r="BR41" s="718">
        <f>AQ41*1000*Preisannahmen!E19*BI41</f>
        <v>0</v>
      </c>
      <c r="BS41" s="725">
        <f>Y41*1000*Preisannahmen!$K$34*BN41</f>
        <v>40857.600000000006</v>
      </c>
      <c r="BT41" s="730">
        <f>AS41*1000*Preisannahmen!K35*BJ41</f>
        <v>0</v>
      </c>
      <c r="BU41" s="731">
        <f>AU41*1000*Preisannahmen!E35*BK41</f>
        <v>0</v>
      </c>
      <c r="BV41" s="731">
        <f>AW41*1000*Preisannahmen!K36*BL41</f>
        <v>14076.72</v>
      </c>
      <c r="BW41" s="732">
        <f>AY41*1000*Preisannahmen!$E$36*BM41</f>
        <v>0</v>
      </c>
      <c r="BX41" s="730">
        <f>O41*1000*Preisannahmen!$N$38*AZ41</f>
        <v>0</v>
      </c>
      <c r="BY41" s="731">
        <f>P41*1000*Preisannahmen!$N$39*BA41</f>
        <v>0</v>
      </c>
      <c r="BZ41" s="731">
        <f>Q41*1000*Preisannahmen!$N$40*BB41</f>
        <v>0</v>
      </c>
      <c r="CA41" s="731">
        <f>R41*1000*Preisannahmen!$N$41*BC41</f>
        <v>0</v>
      </c>
      <c r="CB41" s="732">
        <f>S41*1000*Preisannahmen!$N$42*BD41</f>
        <v>0</v>
      </c>
      <c r="CC41" s="733">
        <f>T41*1000*Preisannahmen!$N$43*BE41</f>
        <v>4080.000000000001</v>
      </c>
      <c r="CD41" s="451">
        <f t="shared" si="33"/>
        <v>86335.152</v>
      </c>
      <c r="CE41" s="817">
        <f>SUM(CD41:CD48)</f>
        <v>1918813.026</v>
      </c>
    </row>
    <row r="42" spans="2:83" ht="12.75">
      <c r="B42" s="176" t="s">
        <v>90</v>
      </c>
      <c r="C42" s="182">
        <v>2012</v>
      </c>
      <c r="D42" s="160">
        <v>75</v>
      </c>
      <c r="E42" s="479">
        <f>D42/(1-Betriebsaufwand!$L$3)</f>
        <v>115.38461538461539</v>
      </c>
      <c r="F42" s="476">
        <f t="shared" si="16"/>
        <v>0.78</v>
      </c>
      <c r="G42" s="163">
        <f t="shared" si="29"/>
        <v>58.5</v>
      </c>
      <c r="H42" s="124">
        <f>H10</f>
        <v>0.22</v>
      </c>
      <c r="I42" s="162">
        <f t="shared" si="30"/>
        <v>16.5</v>
      </c>
      <c r="J42" s="119">
        <f>J10</f>
        <v>0.74</v>
      </c>
      <c r="K42" s="168">
        <f t="shared" si="31"/>
        <v>55.5</v>
      </c>
      <c r="L42" s="120">
        <f t="shared" si="17"/>
        <v>0.26</v>
      </c>
      <c r="M42" s="485">
        <f t="shared" si="34"/>
        <v>19.5</v>
      </c>
      <c r="N42" s="305">
        <f t="shared" si="0"/>
        <v>55.5</v>
      </c>
      <c r="O42" s="211">
        <f t="shared" si="1"/>
        <v>0</v>
      </c>
      <c r="P42" s="211">
        <f t="shared" si="2"/>
        <v>0</v>
      </c>
      <c r="Q42" s="211">
        <f t="shared" si="3"/>
        <v>0</v>
      </c>
      <c r="R42" s="212">
        <f t="shared" si="4"/>
        <v>0</v>
      </c>
      <c r="S42" s="211">
        <f t="shared" si="5"/>
        <v>0</v>
      </c>
      <c r="T42" s="213">
        <f t="shared" si="6"/>
        <v>55.5</v>
      </c>
      <c r="U42" s="171">
        <f>U10</f>
        <v>0.36</v>
      </c>
      <c r="V42" s="126">
        <f t="shared" si="7"/>
        <v>4.752</v>
      </c>
      <c r="W42" s="126">
        <f>V42/Preisannahmen!P6</f>
        <v>5.2105263157894735</v>
      </c>
      <c r="X42" s="173">
        <f t="shared" si="32"/>
        <v>0.64</v>
      </c>
      <c r="Y42" s="129">
        <f t="shared" si="8"/>
        <v>8.448</v>
      </c>
      <c r="Z42" s="153">
        <v>0</v>
      </c>
      <c r="AA42" s="233">
        <f t="shared" si="9"/>
        <v>0</v>
      </c>
      <c r="AB42" s="143">
        <v>0.2</v>
      </c>
      <c r="AC42" s="291">
        <f t="shared" si="10"/>
        <v>3.3000000000000003</v>
      </c>
      <c r="AD42" s="301">
        <f>AD10</f>
        <v>0.05</v>
      </c>
      <c r="AE42" s="129">
        <f t="shared" si="18"/>
        <v>3.1350000000000002</v>
      </c>
      <c r="AF42" s="153">
        <v>0.8</v>
      </c>
      <c r="AG42" s="225">
        <f t="shared" si="19"/>
        <v>3.8016</v>
      </c>
      <c r="AH42" s="222">
        <f t="shared" si="20"/>
        <v>0.19999999999999996</v>
      </c>
      <c r="AI42" s="228">
        <f t="shared" si="11"/>
        <v>0.9503999999999997</v>
      </c>
      <c r="AJ42" s="143">
        <v>1</v>
      </c>
      <c r="AK42" s="225">
        <f t="shared" si="21"/>
        <v>3.8016</v>
      </c>
      <c r="AL42" s="222">
        <f t="shared" si="22"/>
        <v>0</v>
      </c>
      <c r="AM42" s="228">
        <f t="shared" si="23"/>
        <v>0</v>
      </c>
      <c r="AN42" s="143">
        <v>1</v>
      </c>
      <c r="AO42" s="225">
        <f t="shared" si="24"/>
        <v>0.9503999999999997</v>
      </c>
      <c r="AP42" s="222">
        <f t="shared" si="25"/>
        <v>0</v>
      </c>
      <c r="AQ42" s="228">
        <f t="shared" si="26"/>
        <v>0</v>
      </c>
      <c r="AR42" s="143">
        <v>0.9</v>
      </c>
      <c r="AS42" s="225">
        <f t="shared" si="12"/>
        <v>0</v>
      </c>
      <c r="AT42" s="222">
        <f t="shared" si="27"/>
        <v>0.09999999999999998</v>
      </c>
      <c r="AU42" s="228">
        <f t="shared" si="13"/>
        <v>0</v>
      </c>
      <c r="AV42" s="143">
        <v>1</v>
      </c>
      <c r="AW42" s="496">
        <f t="shared" si="14"/>
        <v>3.1350000000000002</v>
      </c>
      <c r="AX42" s="222">
        <f t="shared" si="28"/>
        <v>0</v>
      </c>
      <c r="AY42" s="497">
        <f t="shared" si="15"/>
        <v>0</v>
      </c>
      <c r="AZ42" s="489">
        <v>0.8</v>
      </c>
      <c r="BA42" s="489">
        <v>0.95</v>
      </c>
      <c r="BB42" s="489">
        <v>0.8</v>
      </c>
      <c r="BC42" s="489">
        <v>0.8</v>
      </c>
      <c r="BD42" s="489">
        <v>0.8</v>
      </c>
      <c r="BE42" s="310">
        <v>1</v>
      </c>
      <c r="BF42" s="310">
        <v>1</v>
      </c>
      <c r="BG42" s="310">
        <v>1</v>
      </c>
      <c r="BH42" s="310">
        <v>1</v>
      </c>
      <c r="BI42" s="310">
        <v>1</v>
      </c>
      <c r="BJ42" s="310">
        <v>1</v>
      </c>
      <c r="BK42" s="310">
        <v>0.95</v>
      </c>
      <c r="BL42" s="310">
        <v>0.98</v>
      </c>
      <c r="BM42" s="310">
        <v>0.95</v>
      </c>
      <c r="BN42" s="710">
        <v>0.95</v>
      </c>
      <c r="BO42" s="719">
        <f>AK42*1000*Preisannahmen!K22*BF42</f>
        <v>62407.0656</v>
      </c>
      <c r="BP42" s="130">
        <f>AM42*1000*Preisannahmen!E22*BG42</f>
        <v>0</v>
      </c>
      <c r="BQ42" s="130">
        <f>AO42*1000*Preisannahmen!K17*BH42</f>
        <v>15601.766399999995</v>
      </c>
      <c r="BR42" s="720">
        <f>AQ42*1000*Preisannahmen!E17*BI42</f>
        <v>0</v>
      </c>
      <c r="BS42" s="726">
        <f>Y42*1000*Preisannahmen!$K$34*BN42</f>
        <v>64204.799999999996</v>
      </c>
      <c r="BT42" s="719">
        <f>AS42*1000*Preisannahmen!K35*BJ42</f>
        <v>0</v>
      </c>
      <c r="BU42" s="130">
        <f>AU42*1000*Preisannahmen!E35*BK42</f>
        <v>0</v>
      </c>
      <c r="BV42" s="130">
        <f>AW42*1000*Preisannahmen!K36*BL42</f>
        <v>27650.700000000004</v>
      </c>
      <c r="BW42" s="720">
        <f>AY42*1000*Preisannahmen!$E$36*BM42</f>
        <v>0</v>
      </c>
      <c r="BX42" s="719">
        <f>O42*1000*Preisannahmen!$N$38*AZ42</f>
        <v>0</v>
      </c>
      <c r="BY42" s="130">
        <f>P42*1000*Preisannahmen!$N$39*BA42</f>
        <v>0</v>
      </c>
      <c r="BZ42" s="130">
        <f>Q42*1000*Preisannahmen!$N$40*BB42</f>
        <v>0</v>
      </c>
      <c r="CA42" s="130">
        <f>R42*1000*Preisannahmen!$N$41*BC42</f>
        <v>0</v>
      </c>
      <c r="CB42" s="720">
        <f>S42*1000*Preisannahmen!$N$42*BD42</f>
        <v>0</v>
      </c>
      <c r="CC42" s="726">
        <f>T42*1000*Preisannahmen!$N$43*BE42</f>
        <v>11100</v>
      </c>
      <c r="CD42" s="449">
        <f t="shared" si="33"/>
        <v>180964.332</v>
      </c>
      <c r="CE42" s="818"/>
    </row>
    <row r="43" spans="2:83" ht="12.75">
      <c r="B43" s="177" t="s">
        <v>91</v>
      </c>
      <c r="C43" s="182">
        <v>2012</v>
      </c>
      <c r="D43" s="160">
        <v>75</v>
      </c>
      <c r="E43" s="479">
        <f>D43/(1-Betriebsaufwand!$L$3)</f>
        <v>115.38461538461539</v>
      </c>
      <c r="F43" s="476">
        <f t="shared" si="16"/>
        <v>0.94</v>
      </c>
      <c r="G43" s="163">
        <f t="shared" si="29"/>
        <v>70.5</v>
      </c>
      <c r="H43" s="124">
        <f>H11</f>
        <v>0.06</v>
      </c>
      <c r="I43" s="162">
        <f t="shared" si="30"/>
        <v>4.5</v>
      </c>
      <c r="J43" s="119">
        <f>J11</f>
        <v>0.9</v>
      </c>
      <c r="K43" s="168">
        <f t="shared" si="31"/>
        <v>67.5</v>
      </c>
      <c r="L43" s="120">
        <f t="shared" si="17"/>
        <v>0.09999999999999998</v>
      </c>
      <c r="M43" s="485">
        <f t="shared" si="34"/>
        <v>7.499999999999998</v>
      </c>
      <c r="N43" s="305">
        <f t="shared" si="0"/>
        <v>67.5</v>
      </c>
      <c r="O43" s="211">
        <f t="shared" si="1"/>
        <v>0</v>
      </c>
      <c r="P43" s="211">
        <f t="shared" si="2"/>
        <v>0</v>
      </c>
      <c r="Q43" s="211">
        <f t="shared" si="3"/>
        <v>0</v>
      </c>
      <c r="R43" s="212">
        <f t="shared" si="4"/>
        <v>0</v>
      </c>
      <c r="S43" s="211">
        <f t="shared" si="5"/>
        <v>0</v>
      </c>
      <c r="T43" s="213">
        <f t="shared" si="6"/>
        <v>67.5</v>
      </c>
      <c r="U43" s="171">
        <f>U11</f>
        <v>0.35</v>
      </c>
      <c r="V43" s="126">
        <f t="shared" si="7"/>
        <v>1.26</v>
      </c>
      <c r="W43" s="126">
        <f>V43/Preisannahmen!P7</f>
        <v>1.362162162162162</v>
      </c>
      <c r="X43" s="173">
        <f t="shared" si="32"/>
        <v>0.65</v>
      </c>
      <c r="Y43" s="129">
        <f t="shared" si="8"/>
        <v>2.3400000000000003</v>
      </c>
      <c r="Z43" s="153">
        <v>0</v>
      </c>
      <c r="AA43" s="233">
        <f t="shared" si="9"/>
        <v>0</v>
      </c>
      <c r="AB43" s="143">
        <v>0.2</v>
      </c>
      <c r="AC43" s="292">
        <f t="shared" si="10"/>
        <v>0.9</v>
      </c>
      <c r="AD43" s="301">
        <f>AD11</f>
        <v>0.05</v>
      </c>
      <c r="AE43" s="129">
        <f t="shared" si="18"/>
        <v>0.855</v>
      </c>
      <c r="AF43" s="153">
        <v>0.8</v>
      </c>
      <c r="AG43" s="225">
        <f t="shared" si="19"/>
        <v>1.008</v>
      </c>
      <c r="AH43" s="222">
        <f t="shared" si="20"/>
        <v>0.19999999999999996</v>
      </c>
      <c r="AI43" s="228">
        <f t="shared" si="11"/>
        <v>0.25199999999999995</v>
      </c>
      <c r="AJ43" s="143">
        <v>1</v>
      </c>
      <c r="AK43" s="225">
        <f t="shared" si="21"/>
        <v>1.008</v>
      </c>
      <c r="AL43" s="222">
        <f t="shared" si="22"/>
        <v>0</v>
      </c>
      <c r="AM43" s="228">
        <f t="shared" si="23"/>
        <v>0</v>
      </c>
      <c r="AN43" s="143">
        <v>1</v>
      </c>
      <c r="AO43" s="225">
        <f t="shared" si="24"/>
        <v>0.25199999999999995</v>
      </c>
      <c r="AP43" s="222">
        <f t="shared" si="25"/>
        <v>0</v>
      </c>
      <c r="AQ43" s="228">
        <f t="shared" si="26"/>
        <v>0</v>
      </c>
      <c r="AR43" s="143">
        <v>0.9</v>
      </c>
      <c r="AS43" s="225">
        <f t="shared" si="12"/>
        <v>0</v>
      </c>
      <c r="AT43" s="222">
        <f t="shared" si="27"/>
        <v>0.09999999999999998</v>
      </c>
      <c r="AU43" s="228">
        <f t="shared" si="13"/>
        <v>0</v>
      </c>
      <c r="AV43" s="143">
        <v>1</v>
      </c>
      <c r="AW43" s="496">
        <f t="shared" si="14"/>
        <v>0.855</v>
      </c>
      <c r="AX43" s="222">
        <f t="shared" si="28"/>
        <v>0</v>
      </c>
      <c r="AY43" s="497">
        <f t="shared" si="15"/>
        <v>0</v>
      </c>
      <c r="AZ43" s="489">
        <v>0.8</v>
      </c>
      <c r="BA43" s="489">
        <v>0.95</v>
      </c>
      <c r="BB43" s="489">
        <v>0.8</v>
      </c>
      <c r="BC43" s="489">
        <v>0.8</v>
      </c>
      <c r="BD43" s="489">
        <v>0.8</v>
      </c>
      <c r="BE43" s="310">
        <v>1</v>
      </c>
      <c r="BF43" s="310">
        <v>1</v>
      </c>
      <c r="BG43" s="310">
        <v>1</v>
      </c>
      <c r="BH43" s="310">
        <v>1</v>
      </c>
      <c r="BI43" s="310">
        <v>1</v>
      </c>
      <c r="BJ43" s="310">
        <v>1</v>
      </c>
      <c r="BK43" s="310">
        <v>0.95</v>
      </c>
      <c r="BL43" s="310">
        <v>0.98</v>
      </c>
      <c r="BM43" s="310">
        <v>0.95</v>
      </c>
      <c r="BN43" s="710">
        <v>0.95</v>
      </c>
      <c r="BO43" s="719">
        <f>AK43*1000*Preisannahmen!K23*BF43</f>
        <v>18648</v>
      </c>
      <c r="BP43" s="130">
        <f>AM43*1000*Preisannahmen!E23*BG43</f>
        <v>0</v>
      </c>
      <c r="BQ43" s="130">
        <f>AO43*1000*Preisannahmen!K18*BH43</f>
        <v>4661.999999999999</v>
      </c>
      <c r="BR43" s="720">
        <f>AQ43*1000*Preisannahmen!E18*BI43</f>
        <v>0</v>
      </c>
      <c r="BS43" s="726">
        <f>Y43*1000*Preisannahmen!$K$34*BN43</f>
        <v>17784.000000000004</v>
      </c>
      <c r="BT43" s="719">
        <f>AS43*1000*Preisannahmen!K35*BJ43</f>
        <v>0</v>
      </c>
      <c r="BU43" s="130">
        <f>AU43*1000*Preisannahmen!E35*BK43</f>
        <v>0</v>
      </c>
      <c r="BV43" s="130">
        <f>AW43*1000*Preisannahmen!K36*BL43</f>
        <v>7541.099999999999</v>
      </c>
      <c r="BW43" s="720">
        <f>AY43*1000*Preisannahmen!$E$36*BM43</f>
        <v>0</v>
      </c>
      <c r="BX43" s="719">
        <f>O43*1000*Preisannahmen!$N$38*AZ43</f>
        <v>0</v>
      </c>
      <c r="BY43" s="130">
        <f>P43*1000*Preisannahmen!$N$39*BA43</f>
        <v>0</v>
      </c>
      <c r="BZ43" s="130">
        <f>Q43*1000*Preisannahmen!$N$40*BB43</f>
        <v>0</v>
      </c>
      <c r="CA43" s="130">
        <f>R43*1000*Preisannahmen!$N$41*BC43</f>
        <v>0</v>
      </c>
      <c r="CB43" s="720">
        <f>S43*1000*Preisannahmen!$N$42*BD43</f>
        <v>0</v>
      </c>
      <c r="CC43" s="726">
        <f>T43*1000*Preisannahmen!$N$43*BE43</f>
        <v>13500</v>
      </c>
      <c r="CD43" s="449">
        <f t="shared" si="33"/>
        <v>62135.1</v>
      </c>
      <c r="CE43" s="818"/>
    </row>
    <row r="44" spans="2:83" ht="12.75">
      <c r="B44" s="178" t="s">
        <v>92</v>
      </c>
      <c r="C44" s="182">
        <v>2012</v>
      </c>
      <c r="D44" s="160">
        <v>75</v>
      </c>
      <c r="E44" s="479">
        <f>D44/(1-Betriebsaufwand!$L$3)</f>
        <v>115.38461538461539</v>
      </c>
      <c r="F44" s="476">
        <f t="shared" si="16"/>
        <v>0.79</v>
      </c>
      <c r="G44" s="163">
        <f t="shared" si="29"/>
        <v>59.25</v>
      </c>
      <c r="H44" s="124">
        <f>H12</f>
        <v>0.21</v>
      </c>
      <c r="I44" s="162">
        <f t="shared" si="30"/>
        <v>15.75</v>
      </c>
      <c r="J44" s="119">
        <f>J12</f>
        <v>0.75</v>
      </c>
      <c r="K44" s="168">
        <f t="shared" si="31"/>
        <v>56.25</v>
      </c>
      <c r="L44" s="120">
        <f t="shared" si="17"/>
        <v>0.25</v>
      </c>
      <c r="M44" s="485">
        <f t="shared" si="34"/>
        <v>18.75</v>
      </c>
      <c r="N44" s="305">
        <f t="shared" si="0"/>
        <v>56.25</v>
      </c>
      <c r="O44" s="211">
        <f t="shared" si="1"/>
        <v>0</v>
      </c>
      <c r="P44" s="211">
        <f t="shared" si="2"/>
        <v>0</v>
      </c>
      <c r="Q44" s="211">
        <f t="shared" si="3"/>
        <v>0</v>
      </c>
      <c r="R44" s="212">
        <f t="shared" si="4"/>
        <v>0</v>
      </c>
      <c r="S44" s="211">
        <f t="shared" si="5"/>
        <v>0</v>
      </c>
      <c r="T44" s="213">
        <f t="shared" si="6"/>
        <v>56.25</v>
      </c>
      <c r="U44" s="171">
        <f>U12</f>
        <v>0.28</v>
      </c>
      <c r="V44" s="126">
        <f t="shared" si="7"/>
        <v>3.528</v>
      </c>
      <c r="W44" s="126">
        <f>V44/Preisannahmen!P9</f>
        <v>3.851528384279476</v>
      </c>
      <c r="X44" s="173">
        <f t="shared" si="32"/>
        <v>0.72</v>
      </c>
      <c r="Y44" s="129">
        <f t="shared" si="8"/>
        <v>9.072</v>
      </c>
      <c r="Z44" s="153">
        <v>0</v>
      </c>
      <c r="AA44" s="233">
        <f t="shared" si="9"/>
        <v>0</v>
      </c>
      <c r="AB44" s="143">
        <v>0.2</v>
      </c>
      <c r="AC44" s="291">
        <f t="shared" si="10"/>
        <v>3.1500000000000004</v>
      </c>
      <c r="AD44" s="301">
        <f>AD12</f>
        <v>0.05</v>
      </c>
      <c r="AE44" s="129">
        <f t="shared" si="18"/>
        <v>2.9925</v>
      </c>
      <c r="AF44" s="153">
        <v>0.8</v>
      </c>
      <c r="AG44" s="225">
        <f t="shared" si="19"/>
        <v>2.8224</v>
      </c>
      <c r="AH44" s="222">
        <f t="shared" si="20"/>
        <v>0.19999999999999996</v>
      </c>
      <c r="AI44" s="228">
        <f t="shared" si="11"/>
        <v>0.7055999999999999</v>
      </c>
      <c r="AJ44" s="143">
        <v>1</v>
      </c>
      <c r="AK44" s="225">
        <f t="shared" si="21"/>
        <v>2.8224</v>
      </c>
      <c r="AL44" s="222">
        <f t="shared" si="22"/>
        <v>0</v>
      </c>
      <c r="AM44" s="228">
        <f t="shared" si="23"/>
        <v>0</v>
      </c>
      <c r="AN44" s="143">
        <v>1</v>
      </c>
      <c r="AO44" s="225">
        <f t="shared" si="24"/>
        <v>0.7055999999999999</v>
      </c>
      <c r="AP44" s="222">
        <f t="shared" si="25"/>
        <v>0</v>
      </c>
      <c r="AQ44" s="228">
        <f t="shared" si="26"/>
        <v>0</v>
      </c>
      <c r="AR44" s="143">
        <v>0.8</v>
      </c>
      <c r="AS44" s="225">
        <f t="shared" si="12"/>
        <v>0</v>
      </c>
      <c r="AT44" s="222">
        <f t="shared" si="27"/>
        <v>0.19999999999999996</v>
      </c>
      <c r="AU44" s="228">
        <f t="shared" si="13"/>
        <v>0</v>
      </c>
      <c r="AV44" s="143">
        <v>1</v>
      </c>
      <c r="AW44" s="496">
        <f t="shared" si="14"/>
        <v>2.9925</v>
      </c>
      <c r="AX44" s="222">
        <f t="shared" si="28"/>
        <v>0</v>
      </c>
      <c r="AY44" s="497">
        <f t="shared" si="15"/>
        <v>0</v>
      </c>
      <c r="AZ44" s="489">
        <v>0.8</v>
      </c>
      <c r="BA44" s="489">
        <v>0.95</v>
      </c>
      <c r="BB44" s="489">
        <v>0.8</v>
      </c>
      <c r="BC44" s="489">
        <v>0.8</v>
      </c>
      <c r="BD44" s="489">
        <v>0.8</v>
      </c>
      <c r="BE44" s="310">
        <v>1</v>
      </c>
      <c r="BF44" s="310">
        <v>1</v>
      </c>
      <c r="BG44" s="310">
        <v>1</v>
      </c>
      <c r="BH44" s="310">
        <v>1</v>
      </c>
      <c r="BI44" s="310">
        <v>1</v>
      </c>
      <c r="BJ44" s="310">
        <v>1</v>
      </c>
      <c r="BK44" s="310">
        <v>0.95</v>
      </c>
      <c r="BL44" s="310">
        <v>0.98</v>
      </c>
      <c r="BM44" s="310">
        <v>0.95</v>
      </c>
      <c r="BN44" s="710">
        <v>0.95</v>
      </c>
      <c r="BO44" s="719">
        <f>AK44*1000*Preisannahmen!K25*BF44</f>
        <v>56877.0048</v>
      </c>
      <c r="BP44" s="130">
        <f>AM44*1000*Preisannahmen!E25*BG44</f>
        <v>0</v>
      </c>
      <c r="BQ44" s="130">
        <f>AO44*1000*Preisannahmen!K20*BH44</f>
        <v>14219.251199999999</v>
      </c>
      <c r="BR44" s="720">
        <f>AQ44*1000*Preisannahmen!E20*BI44</f>
        <v>0</v>
      </c>
      <c r="BS44" s="726">
        <f>Y44*1000*Preisannahmen!$K$34*BN44</f>
        <v>68947.2</v>
      </c>
      <c r="BT44" s="719">
        <f>AS44*1000*Preisannahmen!K35*BJ44</f>
        <v>0</v>
      </c>
      <c r="BU44" s="130">
        <f>AU44*1000*Preisannahmen!E35*BK44</f>
        <v>0</v>
      </c>
      <c r="BV44" s="130">
        <f>AW44*1000*Preisannahmen!K36*BL44</f>
        <v>26393.85</v>
      </c>
      <c r="BW44" s="720">
        <f>AY44*1000*Preisannahmen!$E$36*BM44</f>
        <v>0</v>
      </c>
      <c r="BX44" s="719">
        <f>O44*1000*Preisannahmen!$N$38*AZ44</f>
        <v>0</v>
      </c>
      <c r="BY44" s="130">
        <f>P44*1000*Preisannahmen!$N$39*BA44</f>
        <v>0</v>
      </c>
      <c r="BZ44" s="130">
        <f>Q44*1000*Preisannahmen!$N$40*BB44</f>
        <v>0</v>
      </c>
      <c r="CA44" s="130">
        <f>R44*1000*Preisannahmen!$N$41*BC44</f>
        <v>0</v>
      </c>
      <c r="CB44" s="720">
        <f>S44*1000*Preisannahmen!$N$42*BD44</f>
        <v>0</v>
      </c>
      <c r="CC44" s="726">
        <f>T44*1000*Preisannahmen!$N$43*BE44</f>
        <v>11250</v>
      </c>
      <c r="CD44" s="449">
        <f t="shared" si="33"/>
        <v>177687.306</v>
      </c>
      <c r="CE44" s="818"/>
    </row>
    <row r="45" spans="2:83" ht="12.75">
      <c r="B45" s="179" t="s">
        <v>87</v>
      </c>
      <c r="C45" s="182">
        <v>2012</v>
      </c>
      <c r="D45" s="160">
        <v>75</v>
      </c>
      <c r="E45" s="479">
        <f>D45/(1-Betriebsaufwand!$L$3)</f>
        <v>115.38461538461539</v>
      </c>
      <c r="F45" s="476">
        <f t="shared" si="16"/>
        <v>0.72</v>
      </c>
      <c r="G45" s="163">
        <f t="shared" si="29"/>
        <v>54</v>
      </c>
      <c r="H45" s="124">
        <f>H9</f>
        <v>0.28</v>
      </c>
      <c r="I45" s="162">
        <f t="shared" si="30"/>
        <v>21.000000000000004</v>
      </c>
      <c r="J45" s="119">
        <f>J9</f>
        <v>0.68</v>
      </c>
      <c r="K45" s="168">
        <f t="shared" si="31"/>
        <v>51.00000000000001</v>
      </c>
      <c r="L45" s="120">
        <f t="shared" si="17"/>
        <v>0.31999999999999995</v>
      </c>
      <c r="M45" s="485">
        <f t="shared" si="34"/>
        <v>23.999999999999996</v>
      </c>
      <c r="N45" s="305">
        <f t="shared" si="0"/>
        <v>51.00000000000001</v>
      </c>
      <c r="O45" s="211">
        <f t="shared" si="1"/>
        <v>0</v>
      </c>
      <c r="P45" s="211">
        <f t="shared" si="2"/>
        <v>0</v>
      </c>
      <c r="Q45" s="211">
        <f t="shared" si="3"/>
        <v>0</v>
      </c>
      <c r="R45" s="212">
        <f t="shared" si="4"/>
        <v>0</v>
      </c>
      <c r="S45" s="211">
        <f t="shared" si="5"/>
        <v>0</v>
      </c>
      <c r="T45" s="213">
        <f t="shared" si="6"/>
        <v>51.00000000000001</v>
      </c>
      <c r="U45" s="171">
        <f>U9</f>
        <v>0.2</v>
      </c>
      <c r="V45" s="126">
        <f t="shared" si="7"/>
        <v>3.360000000000001</v>
      </c>
      <c r="W45" s="126">
        <f>V45/Preisannahmen!P8</f>
        <v>3.6363636363636376</v>
      </c>
      <c r="X45" s="173">
        <f t="shared" si="32"/>
        <v>0.8</v>
      </c>
      <c r="Y45" s="129">
        <f t="shared" si="8"/>
        <v>13.440000000000005</v>
      </c>
      <c r="Z45" s="153">
        <v>0</v>
      </c>
      <c r="AA45" s="233">
        <f t="shared" si="9"/>
        <v>0</v>
      </c>
      <c r="AB45" s="143">
        <v>0.2</v>
      </c>
      <c r="AC45" s="292">
        <f t="shared" si="10"/>
        <v>4.200000000000001</v>
      </c>
      <c r="AD45" s="301">
        <f>AD9</f>
        <v>0.05</v>
      </c>
      <c r="AE45" s="129">
        <f t="shared" si="18"/>
        <v>3.9900000000000007</v>
      </c>
      <c r="AF45" s="153">
        <v>0.8</v>
      </c>
      <c r="AG45" s="225">
        <f t="shared" si="19"/>
        <v>2.688000000000001</v>
      </c>
      <c r="AH45" s="222">
        <f t="shared" si="20"/>
        <v>0.19999999999999996</v>
      </c>
      <c r="AI45" s="228">
        <f t="shared" si="11"/>
        <v>0.672</v>
      </c>
      <c r="AJ45" s="143">
        <v>1</v>
      </c>
      <c r="AK45" s="225">
        <f t="shared" si="21"/>
        <v>2.688000000000001</v>
      </c>
      <c r="AL45" s="222">
        <f t="shared" si="22"/>
        <v>0</v>
      </c>
      <c r="AM45" s="228">
        <f t="shared" si="23"/>
        <v>0</v>
      </c>
      <c r="AN45" s="143">
        <v>1</v>
      </c>
      <c r="AO45" s="225">
        <f t="shared" si="24"/>
        <v>0.672</v>
      </c>
      <c r="AP45" s="222">
        <f t="shared" si="25"/>
        <v>0</v>
      </c>
      <c r="AQ45" s="228">
        <f t="shared" si="26"/>
        <v>0</v>
      </c>
      <c r="AR45" s="143">
        <v>0.8</v>
      </c>
      <c r="AS45" s="225">
        <f t="shared" si="12"/>
        <v>0</v>
      </c>
      <c r="AT45" s="222">
        <f t="shared" si="27"/>
        <v>0.19999999999999996</v>
      </c>
      <c r="AU45" s="228">
        <f t="shared" si="13"/>
        <v>0</v>
      </c>
      <c r="AV45" s="143">
        <v>1</v>
      </c>
      <c r="AW45" s="496">
        <f t="shared" si="14"/>
        <v>3.9900000000000007</v>
      </c>
      <c r="AX45" s="222">
        <f t="shared" si="28"/>
        <v>0</v>
      </c>
      <c r="AY45" s="497">
        <f t="shared" si="15"/>
        <v>0</v>
      </c>
      <c r="AZ45" s="489">
        <v>0.8</v>
      </c>
      <c r="BA45" s="489">
        <v>0.95</v>
      </c>
      <c r="BB45" s="489">
        <v>0.8</v>
      </c>
      <c r="BC45" s="489">
        <v>0.8</v>
      </c>
      <c r="BD45" s="489">
        <v>0.8</v>
      </c>
      <c r="BE45" s="310">
        <v>1</v>
      </c>
      <c r="BF45" s="310">
        <v>1</v>
      </c>
      <c r="BG45" s="310">
        <v>1</v>
      </c>
      <c r="BH45" s="310">
        <v>1</v>
      </c>
      <c r="BI45" s="310">
        <v>1</v>
      </c>
      <c r="BJ45" s="310">
        <v>1</v>
      </c>
      <c r="BK45" s="310">
        <v>0.95</v>
      </c>
      <c r="BL45" s="310">
        <v>0.98</v>
      </c>
      <c r="BM45" s="310">
        <v>0.95</v>
      </c>
      <c r="BN45" s="710">
        <v>0.95</v>
      </c>
      <c r="BO45" s="719">
        <f>AK45*1000*Preisannahmen!N24*BF45</f>
        <v>44706.81600000002</v>
      </c>
      <c r="BP45" s="130">
        <f>AM45*1000*Preisannahmen!H24*BG45</f>
        <v>0</v>
      </c>
      <c r="BQ45" s="130">
        <f>AO45*1000*Preisannahmen!N19*BH45</f>
        <v>12418.56</v>
      </c>
      <c r="BR45" s="720">
        <f>AQ45*1000*Preisannahmen!H19*BI45</f>
        <v>0</v>
      </c>
      <c r="BS45" s="726">
        <f>Y45*1000*Preisannahmen!$N$34*BN45</f>
        <v>89376.00000000004</v>
      </c>
      <c r="BT45" s="719">
        <f>AS45*1000*Preisannahmen!N35*BJ45</f>
        <v>0</v>
      </c>
      <c r="BU45" s="130">
        <f>AU45*1000*Preisannahmen!H35*BK45</f>
        <v>0</v>
      </c>
      <c r="BV45" s="130">
        <f>AW45*1000*Preisannahmen!N36*BL45</f>
        <v>31281.600000000002</v>
      </c>
      <c r="BW45" s="720">
        <f>AY45*1000*Preisannahmen!$E$36*BM45</f>
        <v>0</v>
      </c>
      <c r="BX45" s="719">
        <f>O45*1000*Preisannahmen!$N$38*AZ45</f>
        <v>0</v>
      </c>
      <c r="BY45" s="130">
        <f>P45*1000*Preisannahmen!$N$39*BA45</f>
        <v>0</v>
      </c>
      <c r="BZ45" s="130">
        <f>Q45*1000*Preisannahmen!$N$40*BB45</f>
        <v>0</v>
      </c>
      <c r="CA45" s="130">
        <f>R45*1000*Preisannahmen!$N$41*BC45</f>
        <v>0</v>
      </c>
      <c r="CB45" s="720">
        <f>S45*1000*Preisannahmen!$N$42*BD45</f>
        <v>0</v>
      </c>
      <c r="CC45" s="726">
        <f>T45*1000*Preisannahmen!$N$43*BE45</f>
        <v>10200.000000000002</v>
      </c>
      <c r="CD45" s="449">
        <f t="shared" si="33"/>
        <v>187982.97600000005</v>
      </c>
      <c r="CE45" s="818"/>
    </row>
    <row r="46" spans="2:83" ht="12.75">
      <c r="B46" s="176" t="s">
        <v>85</v>
      </c>
      <c r="C46" s="182">
        <v>2012</v>
      </c>
      <c r="D46" s="160">
        <v>250</v>
      </c>
      <c r="E46" s="479">
        <f>D46/(1-Betriebsaufwand!$L$3)</f>
        <v>384.6153846153846</v>
      </c>
      <c r="F46" s="476">
        <f t="shared" si="16"/>
        <v>0.78</v>
      </c>
      <c r="G46" s="163">
        <f t="shared" si="29"/>
        <v>195</v>
      </c>
      <c r="H46" s="124">
        <f>H10</f>
        <v>0.22</v>
      </c>
      <c r="I46" s="162">
        <f t="shared" si="30"/>
        <v>55</v>
      </c>
      <c r="J46" s="119">
        <f>J10</f>
        <v>0.74</v>
      </c>
      <c r="K46" s="168">
        <f t="shared" si="31"/>
        <v>185</v>
      </c>
      <c r="L46" s="120">
        <f t="shared" si="17"/>
        <v>0.26</v>
      </c>
      <c r="M46" s="485">
        <f t="shared" si="34"/>
        <v>65</v>
      </c>
      <c r="N46" s="305">
        <f t="shared" si="0"/>
        <v>185</v>
      </c>
      <c r="O46" s="211">
        <f t="shared" si="1"/>
        <v>0</v>
      </c>
      <c r="P46" s="211">
        <f t="shared" si="2"/>
        <v>0</v>
      </c>
      <c r="Q46" s="211">
        <f t="shared" si="3"/>
        <v>0</v>
      </c>
      <c r="R46" s="212">
        <f t="shared" si="4"/>
        <v>0</v>
      </c>
      <c r="S46" s="211">
        <f t="shared" si="5"/>
        <v>0</v>
      </c>
      <c r="T46" s="213">
        <f t="shared" si="6"/>
        <v>185</v>
      </c>
      <c r="U46" s="171">
        <f>U10</f>
        <v>0.36</v>
      </c>
      <c r="V46" s="126">
        <f t="shared" si="7"/>
        <v>15.84</v>
      </c>
      <c r="W46" s="126">
        <f>V46/Preisannahmen!P6</f>
        <v>17.36842105263158</v>
      </c>
      <c r="X46" s="173">
        <f t="shared" si="32"/>
        <v>0.64</v>
      </c>
      <c r="Y46" s="129">
        <f t="shared" si="8"/>
        <v>28.16</v>
      </c>
      <c r="Z46" s="153">
        <v>0</v>
      </c>
      <c r="AA46" s="233">
        <f t="shared" si="9"/>
        <v>0</v>
      </c>
      <c r="AB46" s="143">
        <v>0.2</v>
      </c>
      <c r="AC46" s="291">
        <f t="shared" si="10"/>
        <v>11</v>
      </c>
      <c r="AD46" s="301">
        <f>AD10</f>
        <v>0.05</v>
      </c>
      <c r="AE46" s="129">
        <f t="shared" si="18"/>
        <v>10.45</v>
      </c>
      <c r="AF46" s="153">
        <v>0.8</v>
      </c>
      <c r="AG46" s="225">
        <f t="shared" si="19"/>
        <v>12.672</v>
      </c>
      <c r="AH46" s="222">
        <f t="shared" si="20"/>
        <v>0.19999999999999996</v>
      </c>
      <c r="AI46" s="228">
        <f t="shared" si="11"/>
        <v>3.1679999999999993</v>
      </c>
      <c r="AJ46" s="143">
        <v>1</v>
      </c>
      <c r="AK46" s="225">
        <f t="shared" si="21"/>
        <v>12.672</v>
      </c>
      <c r="AL46" s="222">
        <f t="shared" si="22"/>
        <v>0</v>
      </c>
      <c r="AM46" s="228">
        <f t="shared" si="23"/>
        <v>0</v>
      </c>
      <c r="AN46" s="143">
        <v>1</v>
      </c>
      <c r="AO46" s="225">
        <f t="shared" si="24"/>
        <v>3.1679999999999993</v>
      </c>
      <c r="AP46" s="222">
        <f t="shared" si="25"/>
        <v>0</v>
      </c>
      <c r="AQ46" s="228">
        <f t="shared" si="26"/>
        <v>0</v>
      </c>
      <c r="AR46" s="143">
        <v>0.8</v>
      </c>
      <c r="AS46" s="225">
        <f t="shared" si="12"/>
        <v>0</v>
      </c>
      <c r="AT46" s="222">
        <f t="shared" si="27"/>
        <v>0.19999999999999996</v>
      </c>
      <c r="AU46" s="228">
        <f t="shared" si="13"/>
        <v>0</v>
      </c>
      <c r="AV46" s="143">
        <v>1</v>
      </c>
      <c r="AW46" s="496">
        <f t="shared" si="14"/>
        <v>10.45</v>
      </c>
      <c r="AX46" s="222">
        <f t="shared" si="28"/>
        <v>0</v>
      </c>
      <c r="AY46" s="497">
        <f t="shared" si="15"/>
        <v>0</v>
      </c>
      <c r="AZ46" s="489">
        <v>0.8</v>
      </c>
      <c r="BA46" s="489">
        <v>0.95</v>
      </c>
      <c r="BB46" s="489">
        <v>0.8</v>
      </c>
      <c r="BC46" s="489">
        <v>0.8</v>
      </c>
      <c r="BD46" s="489">
        <v>0.8</v>
      </c>
      <c r="BE46" s="310">
        <v>1</v>
      </c>
      <c r="BF46" s="310">
        <v>1</v>
      </c>
      <c r="BG46" s="310">
        <v>1</v>
      </c>
      <c r="BH46" s="310">
        <v>1</v>
      </c>
      <c r="BI46" s="310">
        <v>1</v>
      </c>
      <c r="BJ46" s="310">
        <v>1</v>
      </c>
      <c r="BK46" s="310">
        <v>0.95</v>
      </c>
      <c r="BL46" s="310">
        <v>0.98</v>
      </c>
      <c r="BM46" s="310">
        <v>0.95</v>
      </c>
      <c r="BN46" s="710">
        <v>0.95</v>
      </c>
      <c r="BO46" s="719">
        <f>AK46*1000*Preisannahmen!N22*BF46</f>
        <v>173352.96</v>
      </c>
      <c r="BP46" s="130">
        <f>AM46*1000*Preisannahmen!H22*BG46</f>
        <v>0</v>
      </c>
      <c r="BQ46" s="130">
        <f>AO46*1000*Preisannahmen!N17*BH46</f>
        <v>46227.45599999999</v>
      </c>
      <c r="BR46" s="720">
        <f>AQ46*1000*Preisannahmen!H17*BI46</f>
        <v>0</v>
      </c>
      <c r="BS46" s="726">
        <f>Y46*1000*Preisannahmen!$N$34*BN46</f>
        <v>187264</v>
      </c>
      <c r="BT46" s="719">
        <f>AS46*1000*Preisannahmen!N35*BJ46</f>
        <v>0</v>
      </c>
      <c r="BU46" s="130">
        <f>AU46*1000*Preisannahmen!H35*BK46</f>
        <v>0</v>
      </c>
      <c r="BV46" s="130">
        <f>AW46*1000*Preisannahmen!N36*BL46</f>
        <v>81928</v>
      </c>
      <c r="BW46" s="720">
        <f>AY46*1000*Preisannahmen!$E$36*BM46</f>
        <v>0</v>
      </c>
      <c r="BX46" s="719">
        <f>O46*1000*Preisannahmen!$N$38*AZ46</f>
        <v>0</v>
      </c>
      <c r="BY46" s="130">
        <f>P46*1000*Preisannahmen!$N$39*BA46</f>
        <v>0</v>
      </c>
      <c r="BZ46" s="130">
        <f>Q46*1000*Preisannahmen!$N$40*BB46</f>
        <v>0</v>
      </c>
      <c r="CA46" s="130">
        <f>R46*1000*Preisannahmen!$N$41*BC46</f>
        <v>0</v>
      </c>
      <c r="CB46" s="720">
        <f>S46*1000*Preisannahmen!$N$42*BD46</f>
        <v>0</v>
      </c>
      <c r="CC46" s="726">
        <f>T46*1000*Preisannahmen!$N$43*BE46</f>
        <v>37000</v>
      </c>
      <c r="CD46" s="449">
        <f t="shared" si="33"/>
        <v>525772.416</v>
      </c>
      <c r="CE46" s="818"/>
    </row>
    <row r="47" spans="2:83" ht="12.75">
      <c r="B47" s="177" t="s">
        <v>88</v>
      </c>
      <c r="C47" s="182">
        <v>2012</v>
      </c>
      <c r="D47" s="160">
        <v>250</v>
      </c>
      <c r="E47" s="479">
        <f>D47/(1-Betriebsaufwand!$L$3)</f>
        <v>384.6153846153846</v>
      </c>
      <c r="F47" s="476">
        <f t="shared" si="16"/>
        <v>0.94</v>
      </c>
      <c r="G47" s="163">
        <f t="shared" si="29"/>
        <v>235</v>
      </c>
      <c r="H47" s="124">
        <f>H11</f>
        <v>0.06</v>
      </c>
      <c r="I47" s="162">
        <f t="shared" si="30"/>
        <v>15</v>
      </c>
      <c r="J47" s="119">
        <f>J11</f>
        <v>0.9</v>
      </c>
      <c r="K47" s="168">
        <f t="shared" si="31"/>
        <v>225</v>
      </c>
      <c r="L47" s="120">
        <f t="shared" si="17"/>
        <v>0.09999999999999998</v>
      </c>
      <c r="M47" s="485">
        <f t="shared" si="34"/>
        <v>24.999999999999993</v>
      </c>
      <c r="N47" s="305">
        <f t="shared" si="0"/>
        <v>225</v>
      </c>
      <c r="O47" s="211">
        <f t="shared" si="1"/>
        <v>0</v>
      </c>
      <c r="P47" s="211">
        <f t="shared" si="2"/>
        <v>0</v>
      </c>
      <c r="Q47" s="211">
        <f t="shared" si="3"/>
        <v>0</v>
      </c>
      <c r="R47" s="212">
        <f t="shared" si="4"/>
        <v>0</v>
      </c>
      <c r="S47" s="211">
        <f t="shared" si="5"/>
        <v>0</v>
      </c>
      <c r="T47" s="213">
        <f t="shared" si="6"/>
        <v>225</v>
      </c>
      <c r="U47" s="171">
        <f>U11</f>
        <v>0.35</v>
      </c>
      <c r="V47" s="126">
        <f t="shared" si="7"/>
        <v>4.199999999999999</v>
      </c>
      <c r="W47" s="126">
        <f>V47/Preisannahmen!P7</f>
        <v>4.5405405405405395</v>
      </c>
      <c r="X47" s="173">
        <f t="shared" si="32"/>
        <v>0.65</v>
      </c>
      <c r="Y47" s="129">
        <f t="shared" si="8"/>
        <v>7.800000000000001</v>
      </c>
      <c r="Z47" s="153">
        <v>0</v>
      </c>
      <c r="AA47" s="233">
        <f t="shared" si="9"/>
        <v>0</v>
      </c>
      <c r="AB47" s="143">
        <v>0.2</v>
      </c>
      <c r="AC47" s="292">
        <f t="shared" si="10"/>
        <v>3</v>
      </c>
      <c r="AD47" s="301">
        <f>AD11</f>
        <v>0.05</v>
      </c>
      <c r="AE47" s="129">
        <f t="shared" si="18"/>
        <v>2.8499999999999996</v>
      </c>
      <c r="AF47" s="153">
        <v>0.8</v>
      </c>
      <c r="AG47" s="225">
        <f t="shared" si="19"/>
        <v>3.3599999999999994</v>
      </c>
      <c r="AH47" s="222">
        <f t="shared" si="20"/>
        <v>0.19999999999999996</v>
      </c>
      <c r="AI47" s="228">
        <f t="shared" si="11"/>
        <v>0.8399999999999996</v>
      </c>
      <c r="AJ47" s="143">
        <v>1</v>
      </c>
      <c r="AK47" s="225">
        <f t="shared" si="21"/>
        <v>3.3599999999999994</v>
      </c>
      <c r="AL47" s="222">
        <f t="shared" si="22"/>
        <v>0</v>
      </c>
      <c r="AM47" s="228">
        <f t="shared" si="23"/>
        <v>0</v>
      </c>
      <c r="AN47" s="143">
        <v>1</v>
      </c>
      <c r="AO47" s="225">
        <f t="shared" si="24"/>
        <v>0.8399999999999996</v>
      </c>
      <c r="AP47" s="222">
        <f t="shared" si="25"/>
        <v>0</v>
      </c>
      <c r="AQ47" s="228">
        <f t="shared" si="26"/>
        <v>0</v>
      </c>
      <c r="AR47" s="143">
        <v>0.8</v>
      </c>
      <c r="AS47" s="225">
        <f t="shared" si="12"/>
        <v>0</v>
      </c>
      <c r="AT47" s="222">
        <f t="shared" si="27"/>
        <v>0.19999999999999996</v>
      </c>
      <c r="AU47" s="228">
        <f t="shared" si="13"/>
        <v>0</v>
      </c>
      <c r="AV47" s="143">
        <v>1</v>
      </c>
      <c r="AW47" s="496">
        <f t="shared" si="14"/>
        <v>2.8499999999999996</v>
      </c>
      <c r="AX47" s="222">
        <f t="shared" si="28"/>
        <v>0</v>
      </c>
      <c r="AY47" s="497">
        <f t="shared" si="15"/>
        <v>0</v>
      </c>
      <c r="AZ47" s="489">
        <v>0.8</v>
      </c>
      <c r="BA47" s="489">
        <v>0.95</v>
      </c>
      <c r="BB47" s="489">
        <v>0.8</v>
      </c>
      <c r="BC47" s="489">
        <v>0.8</v>
      </c>
      <c r="BD47" s="489">
        <v>0.8</v>
      </c>
      <c r="BE47" s="310">
        <v>1</v>
      </c>
      <c r="BF47" s="310">
        <v>1</v>
      </c>
      <c r="BG47" s="310">
        <v>1</v>
      </c>
      <c r="BH47" s="310">
        <v>1</v>
      </c>
      <c r="BI47" s="310">
        <v>1</v>
      </c>
      <c r="BJ47" s="310">
        <v>1</v>
      </c>
      <c r="BK47" s="310">
        <v>0.95</v>
      </c>
      <c r="BL47" s="310">
        <v>0.98</v>
      </c>
      <c r="BM47" s="310">
        <v>0.95</v>
      </c>
      <c r="BN47" s="710">
        <v>0.95</v>
      </c>
      <c r="BO47" s="719">
        <f>AK47*1000*Preisannahmen!N23*BF47</f>
        <v>49727.99999999999</v>
      </c>
      <c r="BP47" s="130">
        <f>AM47*1000*Preisannahmen!H23*BG47</f>
        <v>0</v>
      </c>
      <c r="BQ47" s="130">
        <f>AO47*1000*Preisannahmen!N18*BH47</f>
        <v>13985.999999999996</v>
      </c>
      <c r="BR47" s="720">
        <f>AQ47*1000*Preisannahmen!H18*BI47</f>
        <v>0</v>
      </c>
      <c r="BS47" s="726">
        <f>Y47*1000*Preisannahmen!$N$34*BN47</f>
        <v>51870.00000000001</v>
      </c>
      <c r="BT47" s="719">
        <f>AS47*1000*Preisannahmen!N35*BJ47</f>
        <v>0</v>
      </c>
      <c r="BU47" s="130">
        <f>AU47*1000*Preisannahmen!H35*BK47</f>
        <v>0</v>
      </c>
      <c r="BV47" s="130">
        <f>AW47*1000*Preisannahmen!N36*BL47</f>
        <v>22343.999999999996</v>
      </c>
      <c r="BW47" s="720">
        <f>AY47*1000*Preisannahmen!$E$36*BM47</f>
        <v>0</v>
      </c>
      <c r="BX47" s="719">
        <f>O47*1000*Preisannahmen!$N$38*AZ47</f>
        <v>0</v>
      </c>
      <c r="BY47" s="130">
        <f>P47*1000*Preisannahmen!$N$39*BA47</f>
        <v>0</v>
      </c>
      <c r="BZ47" s="130">
        <f>Q47*1000*Preisannahmen!$N$40*BB47</f>
        <v>0</v>
      </c>
      <c r="CA47" s="130">
        <f>R47*1000*Preisannahmen!$N$41*BC47</f>
        <v>0</v>
      </c>
      <c r="CB47" s="720">
        <f>S47*1000*Preisannahmen!$N$42*BD47</f>
        <v>0</v>
      </c>
      <c r="CC47" s="726">
        <f>T47*1000*Preisannahmen!$N$43*BE47</f>
        <v>45000</v>
      </c>
      <c r="CD47" s="449">
        <f t="shared" si="33"/>
        <v>182928</v>
      </c>
      <c r="CE47" s="818"/>
    </row>
    <row r="48" spans="2:83" ht="13.5" thickBot="1">
      <c r="B48" s="180" t="s">
        <v>86</v>
      </c>
      <c r="C48" s="183">
        <v>2012</v>
      </c>
      <c r="D48" s="161">
        <v>250</v>
      </c>
      <c r="E48" s="480">
        <f>D48/(1-Betriebsaufwand!$L$3)</f>
        <v>384.6153846153846</v>
      </c>
      <c r="F48" s="477">
        <f t="shared" si="16"/>
        <v>0.79</v>
      </c>
      <c r="G48" s="164">
        <f t="shared" si="29"/>
        <v>197.5</v>
      </c>
      <c r="H48" s="131">
        <f>H12</f>
        <v>0.21</v>
      </c>
      <c r="I48" s="166">
        <f t="shared" si="30"/>
        <v>52.5</v>
      </c>
      <c r="J48" s="125">
        <f>J12</f>
        <v>0.75</v>
      </c>
      <c r="K48" s="169">
        <f t="shared" si="31"/>
        <v>187.5</v>
      </c>
      <c r="L48" s="132">
        <f t="shared" si="17"/>
        <v>0.25</v>
      </c>
      <c r="M48" s="486">
        <f t="shared" si="34"/>
        <v>62.5</v>
      </c>
      <c r="N48" s="306">
        <f t="shared" si="0"/>
        <v>187.5</v>
      </c>
      <c r="O48" s="214">
        <f t="shared" si="1"/>
        <v>0</v>
      </c>
      <c r="P48" s="214">
        <f t="shared" si="2"/>
        <v>0</v>
      </c>
      <c r="Q48" s="214">
        <f t="shared" si="3"/>
        <v>0</v>
      </c>
      <c r="R48" s="215">
        <f t="shared" si="4"/>
        <v>0</v>
      </c>
      <c r="S48" s="214">
        <f t="shared" si="5"/>
        <v>0</v>
      </c>
      <c r="T48" s="216">
        <f t="shared" si="6"/>
        <v>187.5</v>
      </c>
      <c r="U48" s="172">
        <f>U12</f>
        <v>0.28</v>
      </c>
      <c r="V48" s="127">
        <f t="shared" si="7"/>
        <v>11.760000000000002</v>
      </c>
      <c r="W48" s="127">
        <f>V48/Preisannahmen!P9</f>
        <v>12.838427947598255</v>
      </c>
      <c r="X48" s="174">
        <f t="shared" si="32"/>
        <v>0.72</v>
      </c>
      <c r="Y48" s="135">
        <f t="shared" si="8"/>
        <v>30.24</v>
      </c>
      <c r="Z48" s="154">
        <v>0</v>
      </c>
      <c r="AA48" s="234">
        <f t="shared" si="9"/>
        <v>0</v>
      </c>
      <c r="AB48" s="144">
        <v>0.2</v>
      </c>
      <c r="AC48" s="293">
        <f t="shared" si="10"/>
        <v>10.5</v>
      </c>
      <c r="AD48" s="302">
        <f>AD12</f>
        <v>0.05</v>
      </c>
      <c r="AE48" s="135">
        <f t="shared" si="18"/>
        <v>9.975</v>
      </c>
      <c r="AF48" s="154">
        <v>0.8</v>
      </c>
      <c r="AG48" s="226">
        <f t="shared" si="19"/>
        <v>9.408000000000001</v>
      </c>
      <c r="AH48" s="223">
        <f t="shared" si="20"/>
        <v>0.19999999999999996</v>
      </c>
      <c r="AI48" s="229">
        <f t="shared" si="11"/>
        <v>2.352</v>
      </c>
      <c r="AJ48" s="144">
        <v>1</v>
      </c>
      <c r="AK48" s="226">
        <f t="shared" si="21"/>
        <v>9.408000000000001</v>
      </c>
      <c r="AL48" s="223">
        <f t="shared" si="22"/>
        <v>0</v>
      </c>
      <c r="AM48" s="229">
        <f t="shared" si="23"/>
        <v>0</v>
      </c>
      <c r="AN48" s="144">
        <v>1</v>
      </c>
      <c r="AO48" s="226">
        <f t="shared" si="24"/>
        <v>2.352</v>
      </c>
      <c r="AP48" s="223">
        <f t="shared" si="25"/>
        <v>0</v>
      </c>
      <c r="AQ48" s="229">
        <f t="shared" si="26"/>
        <v>0</v>
      </c>
      <c r="AR48" s="144">
        <v>0.7</v>
      </c>
      <c r="AS48" s="226">
        <f t="shared" si="12"/>
        <v>0</v>
      </c>
      <c r="AT48" s="223">
        <f t="shared" si="27"/>
        <v>0.30000000000000004</v>
      </c>
      <c r="AU48" s="229">
        <f t="shared" si="13"/>
        <v>0</v>
      </c>
      <c r="AV48" s="144">
        <v>1</v>
      </c>
      <c r="AW48" s="498">
        <f t="shared" si="14"/>
        <v>9.975</v>
      </c>
      <c r="AX48" s="223">
        <f t="shared" si="28"/>
        <v>0</v>
      </c>
      <c r="AY48" s="499">
        <f t="shared" si="15"/>
        <v>0</v>
      </c>
      <c r="AZ48" s="490">
        <v>0.8</v>
      </c>
      <c r="BA48" s="490">
        <v>0.95</v>
      </c>
      <c r="BB48" s="490">
        <v>0.8</v>
      </c>
      <c r="BC48" s="490">
        <v>0.8</v>
      </c>
      <c r="BD48" s="490">
        <v>0.8</v>
      </c>
      <c r="BE48" s="311">
        <v>1</v>
      </c>
      <c r="BF48" s="311">
        <v>1</v>
      </c>
      <c r="BG48" s="311">
        <v>1</v>
      </c>
      <c r="BH48" s="311">
        <v>1</v>
      </c>
      <c r="BI48" s="311">
        <v>1</v>
      </c>
      <c r="BJ48" s="311">
        <v>1</v>
      </c>
      <c r="BK48" s="311">
        <v>0.95</v>
      </c>
      <c r="BL48" s="311">
        <v>0.98</v>
      </c>
      <c r="BM48" s="311">
        <v>0.95</v>
      </c>
      <c r="BN48" s="711">
        <v>0.95</v>
      </c>
      <c r="BO48" s="721">
        <f>AK48*1000*Preisannahmen!N25*BF48</f>
        <v>155119.10400000002</v>
      </c>
      <c r="BP48" s="137">
        <f>AM48*1000*Preisannahmen!H25*BG48</f>
        <v>0</v>
      </c>
      <c r="BQ48" s="137">
        <f>AO48*1000*Preisannahmen!N20*BH48</f>
        <v>43088.64</v>
      </c>
      <c r="BR48" s="722">
        <f>AQ48*1000*Preisannahmen!H20*BI48</f>
        <v>0</v>
      </c>
      <c r="BS48" s="727">
        <f>Y48*1000*Preisannahmen!$N$34*BN48</f>
        <v>201096</v>
      </c>
      <c r="BT48" s="721">
        <f>AS48*1000*Preisannahmen!N35*BJ48</f>
        <v>0</v>
      </c>
      <c r="BU48" s="137">
        <f>AU48*1000*Preisannahmen!H35*BK48</f>
        <v>0</v>
      </c>
      <c r="BV48" s="137">
        <f>AW48*1000*Preisannahmen!N36*BL48</f>
        <v>78204</v>
      </c>
      <c r="BW48" s="722">
        <f>AY48*1000*Preisannahmen!$E$36*BM48</f>
        <v>0</v>
      </c>
      <c r="BX48" s="721">
        <f>O48*1000*Preisannahmen!$N$38*AZ48</f>
        <v>0</v>
      </c>
      <c r="BY48" s="137">
        <f>P48*1000*Preisannahmen!$N$39*BA48</f>
        <v>0</v>
      </c>
      <c r="BZ48" s="137">
        <f>Q48*1000*Preisannahmen!$N$40*BB48</f>
        <v>0</v>
      </c>
      <c r="CA48" s="137">
        <f>R48*1000*Preisannahmen!$N$41*BC48</f>
        <v>0</v>
      </c>
      <c r="CB48" s="722">
        <f>S48*1000*Preisannahmen!$N$42*BD48</f>
        <v>0</v>
      </c>
      <c r="CC48" s="727">
        <f>T48*1000*Preisannahmen!$N$43*BE48</f>
        <v>37500</v>
      </c>
      <c r="CD48" s="450">
        <f t="shared" si="33"/>
        <v>515007.744</v>
      </c>
      <c r="CE48" s="819"/>
    </row>
    <row r="49" spans="16:82" ht="12.75">
      <c r="P49" s="2"/>
      <c r="S49" s="48"/>
      <c r="W49" s="46"/>
      <c r="AD49" s="2"/>
      <c r="BO49" s="49"/>
      <c r="CD49" s="209"/>
    </row>
    <row r="50" spans="4:82" ht="16.5" thickBot="1">
      <c r="D50" s="284"/>
      <c r="E50" s="284"/>
      <c r="I50" s="288"/>
      <c r="K50" s="288"/>
      <c r="P50" s="2"/>
      <c r="S50" s="48"/>
      <c r="W50" s="46"/>
      <c r="Y50" s="46"/>
      <c r="AD50" s="2"/>
      <c r="AE50" s="46"/>
      <c r="AG50" s="46"/>
      <c r="AK50" s="46"/>
      <c r="AW50" s="46"/>
      <c r="BO50" s="49"/>
      <c r="BS50" s="209"/>
      <c r="BV50" s="209"/>
      <c r="CB50" s="55" t="s">
        <v>104</v>
      </c>
      <c r="CC50" s="55"/>
      <c r="CD50" s="210">
        <f>SUM(CD9:CD48)</f>
        <v>5221113.2020224</v>
      </c>
    </row>
    <row r="51" spans="4:30" ht="13.5" thickTop="1">
      <c r="D51" s="284"/>
      <c r="E51" s="284"/>
      <c r="W51" s="46"/>
      <c r="AD51" s="2"/>
    </row>
    <row r="52" spans="1:45" ht="12.75">
      <c r="A52" s="41"/>
      <c r="B52" s="41"/>
      <c r="C52" s="42"/>
      <c r="D52" s="285"/>
      <c r="E52" s="28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7"/>
      <c r="Q52" s="42"/>
      <c r="R52" s="42"/>
      <c r="S52" s="52"/>
      <c r="T52" s="42"/>
      <c r="W52" s="46"/>
      <c r="AD52" s="2"/>
      <c r="AI52" s="44"/>
      <c r="AJ52" s="41"/>
      <c r="AK52" s="41"/>
      <c r="AL52" s="41"/>
      <c r="AM52" s="41"/>
      <c r="AN52" s="42"/>
      <c r="AO52" s="42"/>
      <c r="AP52" s="45"/>
      <c r="AQ52" s="41"/>
      <c r="AR52" s="44"/>
      <c r="AS52" s="45"/>
    </row>
    <row r="53" spans="1:45" ht="12.75">
      <c r="A53" s="41"/>
      <c r="B53" s="41"/>
      <c r="C53" s="42"/>
      <c r="D53" s="285"/>
      <c r="E53" s="28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7"/>
      <c r="Q53" s="42"/>
      <c r="R53" s="42"/>
      <c r="S53" s="52"/>
      <c r="T53" s="42"/>
      <c r="W53" s="46"/>
      <c r="AD53" s="2"/>
      <c r="AI53" s="44"/>
      <c r="AJ53" s="41"/>
      <c r="AK53" s="41"/>
      <c r="AL53" s="41"/>
      <c r="AM53" s="41"/>
      <c r="AN53" s="42"/>
      <c r="AO53" s="42"/>
      <c r="AP53" s="45"/>
      <c r="AQ53" s="41"/>
      <c r="AR53" s="44"/>
      <c r="AS53" s="45"/>
    </row>
    <row r="54" spans="1:45" ht="13.5" customHeight="1">
      <c r="A54" s="41"/>
      <c r="B54" s="41"/>
      <c r="C54" s="42"/>
      <c r="D54" s="285"/>
      <c r="E54" s="285"/>
      <c r="F54" s="42"/>
      <c r="G54" s="42"/>
      <c r="H54" s="42"/>
      <c r="I54" s="42"/>
      <c r="J54" s="42"/>
      <c r="K54" s="42"/>
      <c r="L54" s="42"/>
      <c r="M54" s="42"/>
      <c r="AI54" s="44"/>
      <c r="AJ54" s="41"/>
      <c r="AK54" s="41"/>
      <c r="AL54" s="41"/>
      <c r="AM54" s="41"/>
      <c r="AN54" s="42"/>
      <c r="AO54" s="42"/>
      <c r="AP54" s="45"/>
      <c r="AQ54" s="41"/>
      <c r="AR54" s="44"/>
      <c r="AS54" s="45"/>
    </row>
    <row r="55" spans="1:42" ht="12.75">
      <c r="A55" s="41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AF55" s="44"/>
      <c r="AG55" s="41"/>
      <c r="AH55" s="41"/>
      <c r="AI55" s="41"/>
      <c r="AJ55" s="41"/>
      <c r="AK55" s="42"/>
      <c r="AL55" s="42"/>
      <c r="AM55" s="45"/>
      <c r="AN55" s="41"/>
      <c r="AO55" s="44"/>
      <c r="AP55" s="45"/>
    </row>
    <row r="56" spans="1:42" ht="12.75">
      <c r="A56" s="41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AF56" s="44"/>
      <c r="AG56" s="41"/>
      <c r="AH56" s="41"/>
      <c r="AI56" s="41"/>
      <c r="AJ56" s="41"/>
      <c r="AK56" s="42"/>
      <c r="AL56" s="42"/>
      <c r="AM56" s="45"/>
      <c r="AN56" s="41"/>
      <c r="AO56" s="44"/>
      <c r="AP56" s="45"/>
    </row>
    <row r="57" spans="3:42" s="41" customFormat="1" ht="12.7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AF57" s="44"/>
      <c r="AK57" s="42"/>
      <c r="AL57" s="42"/>
      <c r="AM57" s="45"/>
      <c r="AO57" s="44"/>
      <c r="AP57" s="45"/>
    </row>
    <row r="58" spans="1:40" ht="12.75">
      <c r="A58" s="4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AF58" s="44"/>
      <c r="AG58" s="41"/>
      <c r="AH58" s="41"/>
      <c r="AI58" s="41"/>
      <c r="AJ58" s="41"/>
      <c r="AK58" s="41"/>
      <c r="AL58" s="41"/>
      <c r="AM58" s="41"/>
      <c r="AN58" s="41"/>
    </row>
    <row r="59" spans="1:40" ht="12.75">
      <c r="A59" s="41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AF59" s="44"/>
      <c r="AG59" s="41"/>
      <c r="AH59" s="41"/>
      <c r="AI59" s="41"/>
      <c r="AJ59" s="41"/>
      <c r="AK59" s="41"/>
      <c r="AL59" s="41"/>
      <c r="AM59" s="41"/>
      <c r="AN59" s="41"/>
    </row>
    <row r="60" spans="1:40" ht="12.75">
      <c r="A60" s="41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AF60" s="44"/>
      <c r="AG60" s="41"/>
      <c r="AH60" s="41"/>
      <c r="AI60" s="41"/>
      <c r="AJ60" s="41"/>
      <c r="AK60" s="41"/>
      <c r="AL60" s="41"/>
      <c r="AM60" s="41"/>
      <c r="AN60" s="41"/>
    </row>
    <row r="61" spans="1:40" ht="12.75">
      <c r="A61" s="41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AF61" s="44"/>
      <c r="AG61" s="41"/>
      <c r="AH61" s="41"/>
      <c r="AI61" s="41"/>
      <c r="AJ61" s="41"/>
      <c r="AK61" s="41"/>
      <c r="AL61" s="41"/>
      <c r="AM61" s="41"/>
      <c r="AN61" s="41"/>
    </row>
    <row r="62" spans="1:40" ht="12.75">
      <c r="A62" s="4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AF62" s="44"/>
      <c r="AG62" s="41"/>
      <c r="AH62" s="41"/>
      <c r="AI62" s="41"/>
      <c r="AJ62" s="41"/>
      <c r="AK62" s="41"/>
      <c r="AL62" s="41"/>
      <c r="AM62" s="41"/>
      <c r="AN62" s="41"/>
    </row>
    <row r="63" spans="1:40" ht="12.75">
      <c r="A63" s="41"/>
      <c r="B63" s="41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AF63" s="41"/>
      <c r="AG63" s="41"/>
      <c r="AH63" s="41"/>
      <c r="AI63" s="41"/>
      <c r="AJ63" s="41"/>
      <c r="AK63" s="41"/>
      <c r="AL63" s="41"/>
      <c r="AM63" s="41"/>
      <c r="AN63" s="41"/>
    </row>
    <row r="64" spans="1:40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AF64" s="41"/>
      <c r="AG64" s="41"/>
      <c r="AH64" s="41"/>
      <c r="AI64" s="41"/>
      <c r="AJ64" s="41"/>
      <c r="AK64" s="41"/>
      <c r="AL64" s="41"/>
      <c r="AM64" s="41"/>
      <c r="AN64" s="41"/>
    </row>
    <row r="75" spans="12:13" ht="12.75">
      <c r="L75" s="1"/>
      <c r="M75" s="1"/>
    </row>
    <row r="76" spans="12:13" ht="12.75">
      <c r="L76" s="1"/>
      <c r="M76" s="1"/>
    </row>
    <row r="77" spans="12:13" ht="12.75">
      <c r="L77" s="1"/>
      <c r="M77" s="1"/>
    </row>
    <row r="78" spans="12:13" ht="12.75">
      <c r="L78" s="1"/>
      <c r="M78" s="1"/>
    </row>
    <row r="79" spans="12:13" ht="12.75">
      <c r="L79" s="1"/>
      <c r="M79" s="1"/>
    </row>
    <row r="80" spans="12:13" ht="12.75">
      <c r="L80" s="1"/>
      <c r="M80" s="1"/>
    </row>
    <row r="81" spans="12:13" ht="12.75">
      <c r="L81" s="1"/>
      <c r="M81" s="1"/>
    </row>
    <row r="82" spans="12:13" ht="12.75">
      <c r="L82" s="1"/>
      <c r="M82" s="1"/>
    </row>
    <row r="84" ht="12.75">
      <c r="C84" s="40"/>
    </row>
    <row r="85" spans="3:10" ht="12.75">
      <c r="C85" s="40"/>
      <c r="D85" s="40"/>
      <c r="E85" s="40"/>
      <c r="F85" s="40"/>
      <c r="G85" s="40"/>
      <c r="H85" s="40"/>
      <c r="I85" s="40"/>
      <c r="J85" s="40"/>
    </row>
    <row r="86" spans="3:10" ht="12.75">
      <c r="C86" s="40"/>
      <c r="D86" s="40"/>
      <c r="E86" s="40"/>
      <c r="F86" s="40"/>
      <c r="G86" s="40"/>
      <c r="H86" s="40"/>
      <c r="I86" s="40"/>
      <c r="J86" s="40"/>
    </row>
    <row r="87" spans="3:10" ht="12.75">
      <c r="C87" s="40"/>
      <c r="D87" s="40"/>
      <c r="E87" s="40"/>
      <c r="F87" s="40"/>
      <c r="G87" s="40"/>
      <c r="H87" s="40"/>
      <c r="I87" s="40"/>
      <c r="J87" s="40"/>
    </row>
    <row r="88" spans="3:13" ht="12.75">
      <c r="C88" s="40"/>
      <c r="D88" s="40"/>
      <c r="E88" s="40"/>
      <c r="F88" s="40"/>
      <c r="G88" s="40"/>
      <c r="H88" s="40"/>
      <c r="I88" s="40"/>
      <c r="J88" s="40"/>
      <c r="L88" s="1"/>
      <c r="M88" s="1"/>
    </row>
    <row r="89" spans="3:13" ht="12.75">
      <c r="C89" s="40"/>
      <c r="D89" s="40"/>
      <c r="E89" s="40"/>
      <c r="F89" s="40"/>
      <c r="G89" s="40"/>
      <c r="H89" s="40"/>
      <c r="I89" s="40"/>
      <c r="J89" s="40"/>
      <c r="L89" s="1"/>
      <c r="M89" s="1"/>
    </row>
    <row r="90" spans="12:13" ht="12.75">
      <c r="L90" s="1"/>
      <c r="M90" s="1"/>
    </row>
    <row r="91" spans="12:13" ht="12.75">
      <c r="L91" s="1"/>
      <c r="M91" s="1"/>
    </row>
    <row r="92" spans="12:13" ht="12.75">
      <c r="L92" s="1"/>
      <c r="M92" s="1"/>
    </row>
    <row r="93" spans="12:13" ht="12.75">
      <c r="L93" s="1"/>
      <c r="M93" s="1"/>
    </row>
    <row r="94" spans="12:13" ht="12.75">
      <c r="L94" s="1"/>
      <c r="M94" s="1"/>
    </row>
    <row r="95" spans="12:13" ht="12.75">
      <c r="L95" s="1"/>
      <c r="M95" s="1"/>
    </row>
    <row r="96" spans="12:13" ht="12.75">
      <c r="L96" s="1"/>
      <c r="M96" s="1"/>
    </row>
    <row r="97" spans="12:13" ht="12.75">
      <c r="L97" s="1"/>
      <c r="M97" s="1"/>
    </row>
    <row r="98" spans="12:13" ht="12.75">
      <c r="L98" s="1"/>
      <c r="M98" s="1"/>
    </row>
    <row r="99" spans="12:13" ht="12.75">
      <c r="L99" s="1"/>
      <c r="M99" s="1"/>
    </row>
    <row r="100" spans="12:13" ht="12.75">
      <c r="L100" s="1"/>
      <c r="M100" s="1"/>
    </row>
    <row r="101" spans="12:13" ht="12.75">
      <c r="L101" s="1"/>
      <c r="M101" s="1"/>
    </row>
    <row r="102" spans="12:13" ht="12.75">
      <c r="L102" s="1"/>
      <c r="M102" s="1"/>
    </row>
    <row r="103" spans="12:13" ht="12.75">
      <c r="L103" s="1"/>
      <c r="M103" s="1"/>
    </row>
    <row r="104" spans="12:13" ht="12.75">
      <c r="L104" s="1"/>
      <c r="M104" s="1"/>
    </row>
    <row r="105" spans="12:13" ht="12.75">
      <c r="L105" s="1"/>
      <c r="M105" s="1"/>
    </row>
    <row r="106" spans="12:13" ht="12.75">
      <c r="L106" s="1"/>
      <c r="M106" s="1"/>
    </row>
    <row r="107" spans="12:13" ht="12.75">
      <c r="L107" s="1"/>
      <c r="M107" s="1"/>
    </row>
    <row r="108" spans="12:13" ht="12.75">
      <c r="L108" s="1"/>
      <c r="M108" s="1"/>
    </row>
    <row r="109" spans="12:13" ht="12.75">
      <c r="L109" s="1"/>
      <c r="M109" s="1"/>
    </row>
    <row r="110" spans="12:13" ht="12.75">
      <c r="L110" s="1"/>
      <c r="M110" s="1"/>
    </row>
    <row r="111" spans="12:13" ht="12.75">
      <c r="L111" s="1"/>
      <c r="M111" s="1"/>
    </row>
    <row r="112" spans="12:13" ht="12.75">
      <c r="L112" s="1"/>
      <c r="M112" s="1"/>
    </row>
    <row r="113" spans="12:13" ht="12.75">
      <c r="L113" s="1"/>
      <c r="M113" s="1"/>
    </row>
    <row r="114" spans="12:13" ht="12.75">
      <c r="L114" s="1"/>
      <c r="M114" s="1"/>
    </row>
    <row r="115" spans="12:13" ht="12.75">
      <c r="L115" s="1"/>
      <c r="M115" s="1"/>
    </row>
    <row r="116" spans="12:13" ht="12.75">
      <c r="L116" s="1"/>
      <c r="M116" s="1"/>
    </row>
    <row r="117" spans="12:13" ht="12.75">
      <c r="L117" s="1"/>
      <c r="M117" s="1"/>
    </row>
    <row r="118" spans="12:13" ht="12.75">
      <c r="L118" s="1"/>
      <c r="M118" s="1"/>
    </row>
    <row r="119" spans="12:13" ht="12.75">
      <c r="L119" s="1"/>
      <c r="M119" s="1"/>
    </row>
    <row r="120" spans="12:13" ht="12.75">
      <c r="L120" s="1"/>
      <c r="M120" s="1"/>
    </row>
    <row r="121" spans="12:13" ht="12.75">
      <c r="L121" s="1"/>
      <c r="M121" s="1"/>
    </row>
    <row r="122" spans="12:13" ht="12.75">
      <c r="L122" s="1"/>
      <c r="M122" s="1"/>
    </row>
    <row r="123" spans="12:13" ht="12.75">
      <c r="L123" s="1"/>
      <c r="M123" s="1"/>
    </row>
    <row r="124" spans="12:13" ht="14.25" customHeight="1">
      <c r="L124" s="1"/>
      <c r="M124" s="1"/>
    </row>
    <row r="125" ht="28.5" customHeight="1"/>
  </sheetData>
  <mergeCells count="24">
    <mergeCell ref="B6:E6"/>
    <mergeCell ref="U1:U5"/>
    <mergeCell ref="Z1:Z5"/>
    <mergeCell ref="D1:D5"/>
    <mergeCell ref="N1:T1"/>
    <mergeCell ref="F6:I6"/>
    <mergeCell ref="H1:H5"/>
    <mergeCell ref="J1:J5"/>
    <mergeCell ref="J6:M6"/>
    <mergeCell ref="N6:T6"/>
    <mergeCell ref="AJ1:AV2"/>
    <mergeCell ref="AB1:AB5"/>
    <mergeCell ref="AZ6:BN6"/>
    <mergeCell ref="AZ1:BN3"/>
    <mergeCell ref="AD1:AD5"/>
    <mergeCell ref="U6:AE6"/>
    <mergeCell ref="AF6:AY6"/>
    <mergeCell ref="AF1:AF5"/>
    <mergeCell ref="BO6:CD6"/>
    <mergeCell ref="CE41:CE48"/>
    <mergeCell ref="CE9:CE16"/>
    <mergeCell ref="CE17:CE24"/>
    <mergeCell ref="CE25:CE32"/>
    <mergeCell ref="CE33:CE40"/>
  </mergeCells>
  <conditionalFormatting sqref="N3">
    <cfRule type="cellIs" priority="1" dxfId="0" operator="not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scale="85" r:id="rId4"/>
  <rowBreaks count="1" manualBreakCount="1">
    <brk id="48" max="255" man="1"/>
  </rowBreaks>
  <colBreaks count="12" manualBreakCount="12">
    <brk id="9" max="65535" man="1"/>
    <brk id="13" max="65535" man="1"/>
    <brk id="20" max="65535" man="1"/>
    <brk id="25" max="65535" man="1"/>
    <brk id="32" max="65535" man="1"/>
    <brk id="39" max="47" man="1"/>
    <brk id="47" max="47" man="1"/>
    <brk id="51" max="47" man="1"/>
    <brk id="59" max="47" man="1"/>
    <brk id="71" max="47" man="1"/>
    <brk id="75" max="47" man="1"/>
    <brk id="80" max="47" man="1"/>
  </colBreaks>
  <ignoredErrors>
    <ignoredError sqref="I13:I4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Planbudget</dc:title>
  <dc:subject/>
  <dc:creator>Ing.Kurt Kreihsler</dc:creator>
  <cp:keywords/>
  <dc:description/>
  <cp:lastModifiedBy>Susanne Geissler</cp:lastModifiedBy>
  <cp:lastPrinted>2007-09-23T11:45:17Z</cp:lastPrinted>
  <dcterms:created xsi:type="dcterms:W3CDTF">2006-12-11T10:20:24Z</dcterms:created>
  <dcterms:modified xsi:type="dcterms:W3CDTF">2007-09-23T11:45:47Z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